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solt\Zsolt e.v\Kerepes önkormányzat\Kiadott\"/>
    </mc:Choice>
  </mc:AlternateContent>
  <xr:revisionPtr revIDLastSave="0" documentId="13_ncr:1_{54FDE645-E25F-48FD-88BD-2C856DB963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Összesítő" sheetId="23" r:id="rId1"/>
    <sheet name="Ideiglenes gépköltség (11)" sheetId="24" r:id="rId2"/>
    <sheet name="Ideiglenes melléképítmények(12)" sheetId="22" r:id="rId3"/>
    <sheet name="Zsaluzás (15)" sheetId="19" r:id="rId4"/>
    <sheet name="Állványozás (16)" sheetId="25" r:id="rId5"/>
    <sheet name="Irtás, föld és sziklamunka (21)" sheetId="18" r:id="rId6"/>
    <sheet name="Szivárgóép és alagcsöv (22) " sheetId="17" r:id="rId7"/>
    <sheet name="Síkalapozás (23)" sheetId="16" r:id="rId8"/>
    <sheet name="Aljzatbetonok (30)" sheetId="27" r:id="rId9"/>
    <sheet name="Helyszíni beton és vb. (31)" sheetId="14" r:id="rId10"/>
    <sheet name="Előregyártott épületszerk. (32)" sheetId="13" r:id="rId11"/>
    <sheet name="Falazás és egyéb kőművesm (33)" sheetId="12" r:id="rId12"/>
    <sheet name="Szárazépítészet (34)" sheetId="29" r:id="rId13"/>
    <sheet name="Ácsmunka (35)" sheetId="11" r:id="rId14"/>
    <sheet name="Belső vakolás (36)" sheetId="10" r:id="rId15"/>
    <sheet name="Homlokzatképzés (37)" sheetId="30" r:id="rId16"/>
    <sheet name="Tetőfedés (41)" sheetId="9" r:id="rId17"/>
    <sheet name="Hidegburkolás (42)" sheetId="8" r:id="rId18"/>
    <sheet name="Bádogozás (43)" sheetId="7" r:id="rId19"/>
    <sheet name="Lakatosszerk elhelyezés (45)" sheetId="5" r:id="rId20"/>
    <sheet name="Felületképzés (47)" sheetId="4" r:id="rId21"/>
    <sheet name="Alépítményi szigetelés (48)" sheetId="1" r:id="rId22"/>
    <sheet name="Üzemi és haszn.víz szig. (50)" sheetId="36" r:id="rId23"/>
    <sheet name="Szerkezeti hőszigetelés (51)" sheetId="37" r:id="rId24"/>
    <sheet name="Egyéb szigetelés (52)" sheetId="38" r:id="rId25"/>
    <sheet name="Belső nyílászárók (66)" sheetId="40" r:id="rId26"/>
    <sheet name="Homlokzati nyílászárók (67)" sheetId="42" r:id="rId27"/>
    <sheet name="Bejárati ajtók (68)" sheetId="43" r:id="rId28"/>
  </sheets>
  <definedNames>
    <definedName name="_xlnm.Print_Area" localSheetId="13">'Ácsmunka (35)'!$A$1:$K$22</definedName>
    <definedName name="_xlnm.Print_Area" localSheetId="4">'Állványozás (16)'!$A$1:$K$15</definedName>
    <definedName name="_xlnm.Print_Area" localSheetId="1">'Ideiglenes gépköltség (11)'!$A$1:$K$10</definedName>
    <definedName name="_xlnm.Print_Area" localSheetId="2">'Ideiglenes melléképítmények(12)'!$A$1:$K$25</definedName>
    <definedName name="_xlnm.Print_Area" localSheetId="0">Összesítő!$A$1:$K$46</definedName>
    <definedName name="_xlnm.Print_Area" localSheetId="3">'Zsaluzás (15)'!$A$1:$K$14</definedName>
  </definedNames>
  <calcPr calcId="191029"/>
</workbook>
</file>

<file path=xl/calcChain.xml><?xml version="1.0" encoding="utf-8"?>
<calcChain xmlns="http://schemas.openxmlformats.org/spreadsheetml/2006/main">
  <c r="I14" i="14" l="1"/>
  <c r="J14" i="14"/>
  <c r="A12" i="14"/>
  <c r="A13" i="14" s="1"/>
  <c r="A14" i="14" s="1"/>
  <c r="J13" i="14"/>
  <c r="I13" i="14"/>
  <c r="I4" i="43" l="1"/>
  <c r="J4" i="43"/>
  <c r="I4" i="42"/>
  <c r="J4" i="42"/>
  <c r="J3" i="40"/>
  <c r="I3" i="40"/>
  <c r="G35" i="23" s="1"/>
  <c r="I4" i="38"/>
  <c r="J4" i="38"/>
  <c r="I4" i="37"/>
  <c r="J4" i="37"/>
  <c r="I4" i="1"/>
  <c r="J4" i="1"/>
  <c r="J3" i="5"/>
  <c r="I3" i="5"/>
  <c r="G29" i="23" s="1"/>
  <c r="I4" i="7"/>
  <c r="J4" i="7"/>
  <c r="J3" i="8"/>
  <c r="I3" i="8"/>
  <c r="G27" i="23" s="1"/>
  <c r="I4" i="9"/>
  <c r="J4" i="9"/>
  <c r="I4" i="10"/>
  <c r="J4" i="10"/>
  <c r="I4" i="12"/>
  <c r="J4" i="12"/>
  <c r="I4" i="16"/>
  <c r="J4" i="16"/>
  <c r="I3" i="17"/>
  <c r="G16" i="23" s="1"/>
  <c r="I4" i="19"/>
  <c r="J4" i="19"/>
  <c r="I4" i="24"/>
  <c r="J4" i="24"/>
  <c r="J4" i="13"/>
  <c r="I4" i="13"/>
  <c r="J3" i="17"/>
  <c r="J3" i="29"/>
  <c r="J3" i="36"/>
  <c r="I3" i="29"/>
  <c r="G22" i="23" s="1"/>
  <c r="I3" i="36"/>
  <c r="G32" i="23" s="1"/>
  <c r="K44" i="23" l="1"/>
  <c r="K43" i="23"/>
  <c r="K41" i="23"/>
  <c r="K40" i="23"/>
  <c r="K39" i="23"/>
  <c r="E44" i="23"/>
  <c r="E39" i="23"/>
  <c r="E40" i="23"/>
  <c r="E41" i="23"/>
  <c r="E43" i="23"/>
  <c r="G41" i="23" l="1"/>
  <c r="J41" i="23" s="1"/>
  <c r="G40" i="23"/>
  <c r="J40" i="23" s="1"/>
  <c r="G39" i="23"/>
  <c r="J39" i="23" s="1"/>
  <c r="G43" i="23"/>
  <c r="J43" i="23" s="1"/>
  <c r="G44" i="23"/>
  <c r="J44" i="23" s="1"/>
  <c r="E12" i="38"/>
  <c r="E7" i="37"/>
  <c r="E11" i="4"/>
  <c r="J12" i="4"/>
  <c r="I12" i="4"/>
  <c r="E8" i="1" l="1"/>
  <c r="E9" i="4" l="1"/>
  <c r="E13" i="4" s="1"/>
  <c r="E7" i="4"/>
  <c r="I7" i="7"/>
  <c r="J7" i="7"/>
  <c r="I8" i="7"/>
  <c r="J8" i="7"/>
  <c r="A8" i="7"/>
  <c r="A9" i="7" s="1"/>
  <c r="A10" i="7" s="1"/>
  <c r="A11" i="7" s="1"/>
  <c r="A12" i="7" s="1"/>
  <c r="A13" i="7" s="1"/>
  <c r="A14" i="7" s="1"/>
  <c r="J14" i="11"/>
  <c r="I14" i="11"/>
  <c r="E8" i="4" l="1"/>
  <c r="E10" i="4" s="1"/>
  <c r="I14" i="7"/>
  <c r="J14" i="7"/>
  <c r="E12" i="8"/>
  <c r="J12" i="8" s="1"/>
  <c r="E10" i="8"/>
  <c r="I11" i="8"/>
  <c r="J11" i="8"/>
  <c r="I12" i="14"/>
  <c r="I4" i="14" s="1"/>
  <c r="J12" i="14"/>
  <c r="J4" i="14" s="1"/>
  <c r="G19" i="9"/>
  <c r="I19" i="9" s="1"/>
  <c r="G8" i="9"/>
  <c r="I8" i="9" s="1"/>
  <c r="I14" i="9"/>
  <c r="J14" i="9"/>
  <c r="J8" i="9"/>
  <c r="A8" i="9"/>
  <c r="A9" i="9" s="1"/>
  <c r="A10" i="9" s="1"/>
  <c r="A11" i="9" s="1"/>
  <c r="A12" i="9" s="1"/>
  <c r="A13" i="9" s="1"/>
  <c r="I10" i="9"/>
  <c r="J10" i="9"/>
  <c r="I11" i="9"/>
  <c r="J11" i="9"/>
  <c r="I12" i="9"/>
  <c r="J12" i="9"/>
  <c r="I13" i="9"/>
  <c r="J13" i="9"/>
  <c r="I15" i="9"/>
  <c r="J15" i="9"/>
  <c r="I16" i="9"/>
  <c r="J16" i="9"/>
  <c r="I17" i="9"/>
  <c r="J17" i="9"/>
  <c r="I18" i="9"/>
  <c r="J18" i="9"/>
  <c r="J19" i="9"/>
  <c r="E14" i="30"/>
  <c r="I14" i="30" s="1"/>
  <c r="J14" i="30" l="1"/>
  <c r="I12" i="8"/>
  <c r="E13" i="30"/>
  <c r="I13" i="30" s="1"/>
  <c r="A14" i="9"/>
  <c r="A15" i="9" s="1"/>
  <c r="A16" i="9" s="1"/>
  <c r="A17" i="9" s="1"/>
  <c r="A18" i="9" s="1"/>
  <c r="A19" i="9" s="1"/>
  <c r="J13" i="30"/>
  <c r="E12" i="30"/>
  <c r="E10" i="30"/>
  <c r="E8" i="30" s="1"/>
  <c r="E11" i="30" l="1"/>
  <c r="I12" i="30"/>
  <c r="I4" i="30" s="1"/>
  <c r="J12" i="30"/>
  <c r="J4" i="30" s="1"/>
  <c r="E8" i="10" l="1"/>
  <c r="I9" i="10" l="1"/>
  <c r="J9" i="10"/>
  <c r="I10" i="10"/>
  <c r="J10" i="10"/>
  <c r="I20" i="11"/>
  <c r="J20" i="11"/>
  <c r="J19" i="11"/>
  <c r="I19" i="11"/>
  <c r="I18" i="11" l="1"/>
  <c r="J18" i="11"/>
  <c r="E15" i="11"/>
  <c r="E16" i="11" s="1"/>
  <c r="I10" i="40"/>
  <c r="J10" i="40"/>
  <c r="I7" i="40"/>
  <c r="J7" i="40"/>
  <c r="A8" i="40"/>
  <c r="A9" i="40" s="1"/>
  <c r="A10" i="40" s="1"/>
  <c r="J13" i="42"/>
  <c r="G13" i="42"/>
  <c r="I13" i="42" s="1"/>
  <c r="E7" i="29"/>
  <c r="E8" i="29"/>
  <c r="E9" i="12"/>
  <c r="I8" i="12"/>
  <c r="J8" i="12"/>
  <c r="A8" i="12"/>
  <c r="A9" i="12" s="1"/>
  <c r="A10" i="12" s="1"/>
  <c r="A11" i="12" s="1"/>
  <c r="A12" i="12" s="1"/>
  <c r="A13" i="12" s="1"/>
  <c r="J10" i="12"/>
  <c r="I10" i="12"/>
  <c r="E7" i="12"/>
  <c r="I8" i="13"/>
  <c r="J8" i="13"/>
  <c r="E9" i="14"/>
  <c r="E8" i="19"/>
  <c r="E10" i="14"/>
  <c r="E9" i="19"/>
  <c r="E11" i="14"/>
  <c r="E8" i="14"/>
  <c r="E7" i="14" l="1"/>
  <c r="E10" i="27"/>
  <c r="I10" i="27" s="1"/>
  <c r="E9" i="27"/>
  <c r="J9" i="27" s="1"/>
  <c r="I11" i="16"/>
  <c r="J11" i="16"/>
  <c r="E9" i="16"/>
  <c r="I9" i="18"/>
  <c r="J9" i="18"/>
  <c r="E13" i="18"/>
  <c r="J13" i="18" s="1"/>
  <c r="E17" i="18"/>
  <c r="I17" i="18" s="1"/>
  <c r="E10" i="18"/>
  <c r="E16" i="18"/>
  <c r="E8" i="18"/>
  <c r="A8" i="18"/>
  <c r="A9" i="18" s="1"/>
  <c r="A10" i="18" s="1"/>
  <c r="E7" i="18"/>
  <c r="I9" i="25"/>
  <c r="J9" i="25"/>
  <c r="I10" i="25"/>
  <c r="J10" i="25"/>
  <c r="H8" i="25"/>
  <c r="E7" i="25"/>
  <c r="A9" i="25"/>
  <c r="A11" i="25" s="1"/>
  <c r="I11" i="25"/>
  <c r="J11" i="25"/>
  <c r="I12" i="25"/>
  <c r="J12" i="25"/>
  <c r="E8" i="25"/>
  <c r="I8" i="25" s="1"/>
  <c r="I4" i="25" s="1"/>
  <c r="E13" i="25"/>
  <c r="H12" i="19"/>
  <c r="G12" i="19"/>
  <c r="J10" i="27" l="1"/>
  <c r="I9" i="27"/>
  <c r="I13" i="18"/>
  <c r="E15" i="18"/>
  <c r="J15" i="18" s="1"/>
  <c r="J17" i="18"/>
  <c r="J8" i="25"/>
  <c r="J4" i="25" s="1"/>
  <c r="I15" i="18" l="1"/>
  <c r="E11" i="19" l="1"/>
  <c r="E10" i="19"/>
  <c r="J10" i="19" s="1"/>
  <c r="I8" i="19"/>
  <c r="E7" i="19"/>
  <c r="J7" i="19" s="1"/>
  <c r="I23" i="22"/>
  <c r="J23" i="22"/>
  <c r="J22" i="22"/>
  <c r="I22" i="22"/>
  <c r="A8" i="19"/>
  <c r="A9" i="19" s="1"/>
  <c r="I19" i="22"/>
  <c r="J19" i="22"/>
  <c r="I11" i="22"/>
  <c r="J11" i="22"/>
  <c r="I12" i="22"/>
  <c r="J12" i="22"/>
  <c r="I13" i="22"/>
  <c r="J13" i="22"/>
  <c r="I14" i="22"/>
  <c r="J14" i="22"/>
  <c r="I15" i="22"/>
  <c r="J15" i="22"/>
  <c r="I16" i="22"/>
  <c r="J16" i="22"/>
  <c r="I17" i="22"/>
  <c r="J17" i="22"/>
  <c r="I9" i="22"/>
  <c r="J9" i="22"/>
  <c r="A8" i="22"/>
  <c r="A10" i="22" s="1"/>
  <c r="A12" i="22" s="1"/>
  <c r="A13" i="22" s="1"/>
  <c r="A14" i="22" s="1"/>
  <c r="A15" i="22" s="1"/>
  <c r="A16" i="22" s="1"/>
  <c r="A18" i="22" s="1"/>
  <c r="A20" i="22" s="1"/>
  <c r="A21" i="22" s="1"/>
  <c r="A22" i="22" s="1"/>
  <c r="I8" i="36"/>
  <c r="I10" i="1"/>
  <c r="I10" i="16"/>
  <c r="I9" i="9"/>
  <c r="I17" i="11"/>
  <c r="J17" i="11"/>
  <c r="I7" i="4"/>
  <c r="J11" i="38"/>
  <c r="J7" i="37"/>
  <c r="J3" i="37" s="1"/>
  <c r="I10" i="8"/>
  <c r="J10" i="30"/>
  <c r="I8" i="30"/>
  <c r="J7" i="10"/>
  <c r="A8" i="10"/>
  <c r="A9" i="10" s="1"/>
  <c r="A10" i="10" s="1"/>
  <c r="J8" i="18"/>
  <c r="I7" i="12"/>
  <c r="I7" i="14"/>
  <c r="I10" i="14"/>
  <c r="I9" i="14"/>
  <c r="I8" i="14"/>
  <c r="E8" i="16"/>
  <c r="J9" i="17"/>
  <c r="I8" i="17"/>
  <c r="E14" i="18"/>
  <c r="I14" i="18" s="1"/>
  <c r="A11" i="18"/>
  <c r="J7" i="18"/>
  <c r="J13" i="25"/>
  <c r="J7" i="25"/>
  <c r="J12" i="19"/>
  <c r="I9" i="19"/>
  <c r="A8" i="4"/>
  <c r="A9" i="4" s="1"/>
  <c r="A10" i="4" s="1"/>
  <c r="A11" i="4" s="1"/>
  <c r="A13" i="4" s="1"/>
  <c r="I8" i="4"/>
  <c r="J8" i="4"/>
  <c r="A8" i="1"/>
  <c r="A9" i="1" s="1"/>
  <c r="A10" i="1" s="1"/>
  <c r="A8" i="36"/>
  <c r="A8" i="38"/>
  <c r="A9" i="38" s="1"/>
  <c r="A10" i="38" s="1"/>
  <c r="A11" i="38" s="1"/>
  <c r="A12" i="38" s="1"/>
  <c r="A8" i="42"/>
  <c r="A9" i="42" s="1"/>
  <c r="A8" i="8"/>
  <c r="A9" i="8" s="1"/>
  <c r="A10" i="8" s="1"/>
  <c r="A11" i="8" s="1"/>
  <c r="A12" i="8" s="1"/>
  <c r="I9" i="30"/>
  <c r="J9" i="30"/>
  <c r="A8" i="30"/>
  <c r="A9" i="30" s="1"/>
  <c r="A10" i="30" s="1"/>
  <c r="A11" i="30" s="1"/>
  <c r="A13" i="30" s="1"/>
  <c r="I10" i="30"/>
  <c r="I7" i="30"/>
  <c r="I3" i="30" s="1"/>
  <c r="J7" i="30"/>
  <c r="I15" i="11"/>
  <c r="I4" i="11" s="1"/>
  <c r="J15" i="11"/>
  <c r="I16" i="11"/>
  <c r="J16" i="11"/>
  <c r="A8" i="11"/>
  <c r="A8" i="29"/>
  <c r="I8" i="29"/>
  <c r="J8" i="29"/>
  <c r="A7" i="13"/>
  <c r="A8" i="13" s="1"/>
  <c r="A8" i="14"/>
  <c r="A9" i="14" s="1"/>
  <c r="A10" i="14" s="1"/>
  <c r="A11" i="14" s="1"/>
  <c r="A8" i="27"/>
  <c r="A9" i="27" s="1"/>
  <c r="A8" i="16"/>
  <c r="A9" i="16" s="1"/>
  <c r="J8" i="17"/>
  <c r="A8" i="17"/>
  <c r="A9" i="17" s="1"/>
  <c r="A13" i="25"/>
  <c r="A8" i="24"/>
  <c r="J7" i="11"/>
  <c r="J8" i="11"/>
  <c r="J9" i="11"/>
  <c r="J10" i="11"/>
  <c r="J11" i="11"/>
  <c r="J12" i="11"/>
  <c r="J13" i="11"/>
  <c r="I7" i="11"/>
  <c r="I8" i="11"/>
  <c r="I9" i="11"/>
  <c r="I10" i="11"/>
  <c r="I11" i="11"/>
  <c r="I12" i="11"/>
  <c r="I13" i="11"/>
  <c r="J7" i="1"/>
  <c r="J8" i="1"/>
  <c r="J9" i="1"/>
  <c r="I7" i="1"/>
  <c r="I8" i="1"/>
  <c r="I9" i="1"/>
  <c r="J7" i="27"/>
  <c r="J3" i="27" s="1"/>
  <c r="J8" i="27"/>
  <c r="J4" i="27" s="1"/>
  <c r="I7" i="27"/>
  <c r="I3" i="27" s="1"/>
  <c r="I8" i="27"/>
  <c r="I4" i="27" s="1"/>
  <c r="J9" i="7"/>
  <c r="J10" i="7"/>
  <c r="J11" i="7"/>
  <c r="J12" i="7"/>
  <c r="J13" i="7"/>
  <c r="I9" i="7"/>
  <c r="I10" i="7"/>
  <c r="I11" i="7"/>
  <c r="I12" i="7"/>
  <c r="I13" i="7"/>
  <c r="J7" i="43"/>
  <c r="J3" i="43" s="1"/>
  <c r="I7" i="43"/>
  <c r="I3" i="43" s="1"/>
  <c r="G37" i="23" s="1"/>
  <c r="J8" i="40"/>
  <c r="J4" i="40" s="1"/>
  <c r="J9" i="40"/>
  <c r="I8" i="40"/>
  <c r="I4" i="40" s="1"/>
  <c r="I9" i="40"/>
  <c r="J8" i="10"/>
  <c r="I8" i="10"/>
  <c r="J7" i="38"/>
  <c r="J8" i="38"/>
  <c r="J9" i="38"/>
  <c r="J10" i="38"/>
  <c r="J12" i="38"/>
  <c r="I7" i="38"/>
  <c r="I8" i="38"/>
  <c r="I9" i="38"/>
  <c r="I10" i="38"/>
  <c r="I12" i="38"/>
  <c r="J7" i="13"/>
  <c r="J3" i="13" s="1"/>
  <c r="I7" i="13"/>
  <c r="I3" i="13" s="1"/>
  <c r="J9" i="12"/>
  <c r="J11" i="12"/>
  <c r="J12" i="12"/>
  <c r="J13" i="12"/>
  <c r="I9" i="12"/>
  <c r="I11" i="12"/>
  <c r="I12" i="12"/>
  <c r="I13" i="12"/>
  <c r="J11" i="4"/>
  <c r="J3" i="4" s="1"/>
  <c r="J13" i="4"/>
  <c r="I11" i="4"/>
  <c r="I3" i="4" s="1"/>
  <c r="I13" i="4"/>
  <c r="J7" i="14"/>
  <c r="J10" i="14"/>
  <c r="J11" i="14"/>
  <c r="I11" i="14"/>
  <c r="I7" i="8"/>
  <c r="I4" i="8" s="1"/>
  <c r="J7" i="8"/>
  <c r="I8" i="8"/>
  <c r="J8" i="8"/>
  <c r="J9" i="8"/>
  <c r="I9" i="8"/>
  <c r="J7" i="42"/>
  <c r="J8" i="42"/>
  <c r="J9" i="42"/>
  <c r="J10" i="42"/>
  <c r="J11" i="42"/>
  <c r="J12" i="42"/>
  <c r="I7" i="42"/>
  <c r="I8" i="42"/>
  <c r="I9" i="42"/>
  <c r="I10" i="42"/>
  <c r="I11" i="42"/>
  <c r="I12" i="42"/>
  <c r="J11" i="30"/>
  <c r="I11" i="30"/>
  <c r="J7" i="24"/>
  <c r="J8" i="24"/>
  <c r="I7" i="24"/>
  <c r="I3" i="24" s="1"/>
  <c r="I8" i="24"/>
  <c r="J7" i="22"/>
  <c r="J3" i="22" s="1"/>
  <c r="J8" i="22"/>
  <c r="J10" i="22"/>
  <c r="J18" i="22"/>
  <c r="J20" i="22"/>
  <c r="J21" i="22"/>
  <c r="I7" i="22"/>
  <c r="I8" i="22"/>
  <c r="I10" i="22"/>
  <c r="I18" i="22"/>
  <c r="I20" i="22"/>
  <c r="I21" i="22"/>
  <c r="J10" i="18"/>
  <c r="J11" i="18"/>
  <c r="J4" i="18" s="1"/>
  <c r="J12" i="18"/>
  <c r="I10" i="18"/>
  <c r="I11" i="18"/>
  <c r="I4" i="18" s="1"/>
  <c r="I12" i="18"/>
  <c r="J7" i="5"/>
  <c r="J4" i="5" s="1"/>
  <c r="I7" i="5"/>
  <c r="I4" i="5" s="1"/>
  <c r="J7" i="29"/>
  <c r="J4" i="29" s="1"/>
  <c r="I7" i="29"/>
  <c r="I11" i="19"/>
  <c r="J11" i="19"/>
  <c r="I7" i="17"/>
  <c r="J7" i="17"/>
  <c r="I7" i="16"/>
  <c r="I3" i="16" s="1"/>
  <c r="I8" i="16"/>
  <c r="I9" i="16"/>
  <c r="J7" i="16"/>
  <c r="J8" i="16"/>
  <c r="J9" i="16"/>
  <c r="J10" i="16"/>
  <c r="I7" i="9"/>
  <c r="I3" i="9" s="1"/>
  <c r="J7" i="9"/>
  <c r="I7" i="36"/>
  <c r="J7" i="36"/>
  <c r="J8" i="36"/>
  <c r="J3" i="42" l="1"/>
  <c r="I3" i="14"/>
  <c r="I4" i="29"/>
  <c r="I10" i="19"/>
  <c r="G18" i="23"/>
  <c r="G20" i="23"/>
  <c r="J12" i="40"/>
  <c r="D35" i="23" s="1"/>
  <c r="I3" i="7"/>
  <c r="G28" i="23" s="1"/>
  <c r="J3" i="16"/>
  <c r="G17" i="23" s="1"/>
  <c r="I3" i="12"/>
  <c r="J4" i="36"/>
  <c r="J3" i="24"/>
  <c r="G11" i="23" s="1"/>
  <c r="I3" i="42"/>
  <c r="J3" i="38"/>
  <c r="J4" i="22"/>
  <c r="I4" i="36"/>
  <c r="I3" i="1"/>
  <c r="J4" i="11"/>
  <c r="I4" i="22"/>
  <c r="G30" i="23"/>
  <c r="J3" i="7"/>
  <c r="J3" i="11"/>
  <c r="J3" i="10"/>
  <c r="I3" i="22"/>
  <c r="G12" i="23" s="1"/>
  <c r="J4" i="17"/>
  <c r="I3" i="11"/>
  <c r="J3" i="25"/>
  <c r="I16" i="7"/>
  <c r="C28" i="23" s="1"/>
  <c r="J16" i="7"/>
  <c r="D28" i="23" s="1"/>
  <c r="A9" i="11"/>
  <c r="A10" i="11" s="1"/>
  <c r="A11" i="11" s="1"/>
  <c r="A12" i="11" s="1"/>
  <c r="A13" i="11" s="1"/>
  <c r="I12" i="40"/>
  <c r="C35" i="23" s="1"/>
  <c r="A10" i="42"/>
  <c r="A11" i="42" s="1"/>
  <c r="A12" i="42" s="1"/>
  <c r="A13" i="42" s="1"/>
  <c r="I9" i="17"/>
  <c r="I11" i="17" s="1"/>
  <c r="C16" i="23" s="1"/>
  <c r="I16" i="18"/>
  <c r="J16" i="18"/>
  <c r="J8" i="19"/>
  <c r="J9" i="14"/>
  <c r="J3" i="14" s="1"/>
  <c r="I8" i="18"/>
  <c r="J14" i="18"/>
  <c r="J3" i="18" s="1"/>
  <c r="I9" i="43"/>
  <c r="C37" i="23" s="1"/>
  <c r="J9" i="43"/>
  <c r="D37" i="23" s="1"/>
  <c r="J8" i="14"/>
  <c r="I7" i="37"/>
  <c r="I12" i="19"/>
  <c r="I13" i="25"/>
  <c r="A10" i="19"/>
  <c r="A11" i="19" s="1"/>
  <c r="A12" i="19" s="1"/>
  <c r="J9" i="19"/>
  <c r="I7" i="10"/>
  <c r="A12" i="18"/>
  <c r="I25" i="22"/>
  <c r="C12" i="23" s="1"/>
  <c r="J25" i="22"/>
  <c r="D12" i="23" s="1"/>
  <c r="J10" i="24"/>
  <c r="D11" i="23" s="1"/>
  <c r="I10" i="24"/>
  <c r="C11" i="23" s="1"/>
  <c r="J10" i="1"/>
  <c r="J12" i="1" s="1"/>
  <c r="D31" i="23" s="1"/>
  <c r="J10" i="4"/>
  <c r="I10" i="4"/>
  <c r="J9" i="4"/>
  <c r="I9" i="4"/>
  <c r="I11" i="38"/>
  <c r="I14" i="38" s="1"/>
  <c r="C34" i="23" s="1"/>
  <c r="J9" i="9"/>
  <c r="J21" i="9" s="1"/>
  <c r="D26" i="23" s="1"/>
  <c r="J7" i="4"/>
  <c r="J10" i="36"/>
  <c r="D32" i="23" s="1"/>
  <c r="I10" i="36"/>
  <c r="C32" i="23" s="1"/>
  <c r="J10" i="8"/>
  <c r="J14" i="8" s="1"/>
  <c r="D27" i="23" s="1"/>
  <c r="J8" i="30"/>
  <c r="J16" i="30" s="1"/>
  <c r="D25" i="23" s="1"/>
  <c r="J7" i="12"/>
  <c r="J12" i="27"/>
  <c r="D18" i="23" s="1"/>
  <c r="I7" i="18"/>
  <c r="I7" i="25"/>
  <c r="I3" i="25" s="1"/>
  <c r="G14" i="23" s="1"/>
  <c r="I7" i="19"/>
  <c r="I3" i="19" s="1"/>
  <c r="J9" i="5"/>
  <c r="D29" i="23" s="1"/>
  <c r="I9" i="5"/>
  <c r="C29" i="23" s="1"/>
  <c r="E29" i="23" s="1"/>
  <c r="I12" i="1"/>
  <c r="C31" i="23" s="1"/>
  <c r="J9" i="37"/>
  <c r="D33" i="23" s="1"/>
  <c r="A10" i="16"/>
  <c r="A11" i="16" s="1"/>
  <c r="J14" i="38"/>
  <c r="D34" i="23" s="1"/>
  <c r="I15" i="42"/>
  <c r="C36" i="23" s="1"/>
  <c r="J15" i="42"/>
  <c r="D36" i="23" s="1"/>
  <c r="I14" i="8"/>
  <c r="C27" i="23" s="1"/>
  <c r="I21" i="9"/>
  <c r="C26" i="23" s="1"/>
  <c r="E26" i="23" s="1"/>
  <c r="I16" i="30"/>
  <c r="C25" i="23" s="1"/>
  <c r="E25" i="23" s="1"/>
  <c r="J12" i="10"/>
  <c r="D24" i="23" s="1"/>
  <c r="J22" i="11"/>
  <c r="D23" i="23" s="1"/>
  <c r="I22" i="11"/>
  <c r="C23" i="23" s="1"/>
  <c r="I10" i="29"/>
  <c r="C22" i="23" s="1"/>
  <c r="J10" i="29"/>
  <c r="D22" i="23" s="1"/>
  <c r="I15" i="12"/>
  <c r="C21" i="23" s="1"/>
  <c r="I10" i="13"/>
  <c r="C20" i="23" s="1"/>
  <c r="J10" i="13"/>
  <c r="D20" i="23" s="1"/>
  <c r="I16" i="14"/>
  <c r="C19" i="23" s="1"/>
  <c r="I12" i="27"/>
  <c r="C18" i="23" s="1"/>
  <c r="J13" i="16"/>
  <c r="D17" i="23" s="1"/>
  <c r="I13" i="16"/>
  <c r="C17" i="23" s="1"/>
  <c r="J11" i="17"/>
  <c r="D16" i="23" s="1"/>
  <c r="J15" i="25"/>
  <c r="D14" i="23" s="1"/>
  <c r="E31" i="23" l="1"/>
  <c r="J4" i="4"/>
  <c r="J3" i="19"/>
  <c r="G13" i="23" s="1"/>
  <c r="G19" i="23"/>
  <c r="I4" i="4"/>
  <c r="J3" i="30"/>
  <c r="G25" i="23" s="1"/>
  <c r="J25" i="23" s="1"/>
  <c r="G36" i="23"/>
  <c r="I4" i="17"/>
  <c r="E27" i="23"/>
  <c r="H27" i="23" s="1"/>
  <c r="K27" i="23" s="1"/>
  <c r="I3" i="18"/>
  <c r="G15" i="23" s="1"/>
  <c r="E34" i="23"/>
  <c r="I9" i="37"/>
  <c r="C33" i="23" s="1"/>
  <c r="I3" i="37"/>
  <c r="G33" i="23" s="1"/>
  <c r="J15" i="12"/>
  <c r="D21" i="23" s="1"/>
  <c r="E21" i="23" s="1"/>
  <c r="J3" i="12"/>
  <c r="G23" i="23"/>
  <c r="I12" i="10"/>
  <c r="C24" i="23" s="1"/>
  <c r="E24" i="23" s="1"/>
  <c r="I3" i="10"/>
  <c r="G24" i="23" s="1"/>
  <c r="H24" i="23" s="1"/>
  <c r="K24" i="23" s="1"/>
  <c r="I3" i="38"/>
  <c r="G34" i="23" s="1"/>
  <c r="H34" i="23" s="1"/>
  <c r="K34" i="23" s="1"/>
  <c r="E17" i="23"/>
  <c r="J17" i="23" s="1"/>
  <c r="E32" i="23"/>
  <c r="H32" i="23" s="1"/>
  <c r="K32" i="23" s="1"/>
  <c r="J4" i="8"/>
  <c r="J3" i="1"/>
  <c r="G31" i="23" s="1"/>
  <c r="J3" i="9"/>
  <c r="G26" i="23" s="1"/>
  <c r="J26" i="23" s="1"/>
  <c r="G21" i="23"/>
  <c r="J27" i="23"/>
  <c r="J29" i="23"/>
  <c r="H29" i="23"/>
  <c r="K29" i="23" s="1"/>
  <c r="H17" i="23"/>
  <c r="K17" i="23" s="1"/>
  <c r="J19" i="18"/>
  <c r="D15" i="23" s="1"/>
  <c r="A14" i="11"/>
  <c r="A15" i="11" s="1"/>
  <c r="A16" i="11" s="1"/>
  <c r="A17" i="11" s="1"/>
  <c r="A18" i="11" s="1"/>
  <c r="E33" i="23"/>
  <c r="E20" i="23"/>
  <c r="E12" i="23"/>
  <c r="E16" i="23"/>
  <c r="E37" i="23"/>
  <c r="E35" i="23"/>
  <c r="E36" i="23"/>
  <c r="E23" i="23"/>
  <c r="E22" i="23"/>
  <c r="E18" i="23"/>
  <c r="E11" i="23"/>
  <c r="E28" i="23"/>
  <c r="J16" i="14"/>
  <c r="D19" i="23" s="1"/>
  <c r="E19" i="23" s="1"/>
  <c r="A14" i="18"/>
  <c r="A16" i="18" s="1"/>
  <c r="I19" i="18"/>
  <c r="C15" i="23" s="1"/>
  <c r="E15" i="23" s="1"/>
  <c r="I15" i="25"/>
  <c r="C14" i="23" s="1"/>
  <c r="E14" i="23" s="1"/>
  <c r="I14" i="19"/>
  <c r="C13" i="23" s="1"/>
  <c r="J14" i="19"/>
  <c r="D13" i="23" s="1"/>
  <c r="I15" i="4"/>
  <c r="C30" i="23" s="1"/>
  <c r="J15" i="4"/>
  <c r="D30" i="23" s="1"/>
  <c r="G46" i="23" l="1"/>
  <c r="J32" i="23"/>
  <c r="H25" i="23"/>
  <c r="K25" i="23" s="1"/>
  <c r="J24" i="23"/>
  <c r="J34" i="23"/>
  <c r="H31" i="23"/>
  <c r="K31" i="23" s="1"/>
  <c r="J31" i="23"/>
  <c r="H26" i="23"/>
  <c r="K26" i="23" s="1"/>
  <c r="J12" i="23"/>
  <c r="H12" i="23"/>
  <c r="K12" i="23" s="1"/>
  <c r="J23" i="23"/>
  <c r="H23" i="23"/>
  <c r="K23" i="23" s="1"/>
  <c r="H18" i="23"/>
  <c r="K18" i="23" s="1"/>
  <c r="J18" i="23"/>
  <c r="J20" i="23"/>
  <c r="H20" i="23"/>
  <c r="K20" i="23" s="1"/>
  <c r="J21" i="23"/>
  <c r="H21" i="23"/>
  <c r="K21" i="23" s="1"/>
  <c r="J11" i="23"/>
  <c r="H11" i="23"/>
  <c r="K11" i="23" s="1"/>
  <c r="H22" i="23"/>
  <c r="K22" i="23" s="1"/>
  <c r="J22" i="23"/>
  <c r="H33" i="23"/>
  <c r="K33" i="23" s="1"/>
  <c r="J33" i="23"/>
  <c r="J15" i="23"/>
  <c r="H15" i="23"/>
  <c r="K15" i="23" s="1"/>
  <c r="H19" i="23"/>
  <c r="K19" i="23" s="1"/>
  <c r="J19" i="23"/>
  <c r="J37" i="23"/>
  <c r="H37" i="23"/>
  <c r="K37" i="23" s="1"/>
  <c r="J14" i="23"/>
  <c r="H14" i="23"/>
  <c r="K14" i="23" s="1"/>
  <c r="J36" i="23"/>
  <c r="H36" i="23"/>
  <c r="K36" i="23" s="1"/>
  <c r="J35" i="23"/>
  <c r="H35" i="23"/>
  <c r="K35" i="23" s="1"/>
  <c r="H28" i="23"/>
  <c r="K28" i="23" s="1"/>
  <c r="J28" i="23"/>
  <c r="J16" i="23"/>
  <c r="H16" i="23"/>
  <c r="K16" i="23" s="1"/>
  <c r="E30" i="23"/>
  <c r="E13" i="23"/>
  <c r="C46" i="23"/>
  <c r="D46" i="23"/>
  <c r="E46" i="23" l="1"/>
  <c r="J13" i="23"/>
  <c r="H13" i="23"/>
  <c r="K13" i="23" s="1"/>
  <c r="J30" i="23"/>
  <c r="H30" i="23"/>
  <c r="K30" i="23" s="1"/>
  <c r="J46" i="23" l="1"/>
  <c r="H46" i="23"/>
  <c r="K46" i="23" s="1"/>
</calcChain>
</file>

<file path=xl/sharedStrings.xml><?xml version="1.0" encoding="utf-8"?>
<sst xmlns="http://schemas.openxmlformats.org/spreadsheetml/2006/main" count="1207" uniqueCount="461">
  <si>
    <t>48-04-014-0313002</t>
  </si>
  <si>
    <t>48-07-014-0111801</t>
  </si>
  <si>
    <t>48-07-014-0111803</t>
  </si>
  <si>
    <t>Összesen:</t>
  </si>
  <si>
    <t>43-03-046-0113006</t>
  </si>
  <si>
    <t>Bádogozás</t>
  </si>
  <si>
    <t>44-01-012-0137252</t>
  </si>
  <si>
    <t>44-01-063-0133232</t>
  </si>
  <si>
    <t>44-02-018-0221206</t>
  </si>
  <si>
    <t>44-02-018-0221212</t>
  </si>
  <si>
    <t>44-02-018-0221406</t>
  </si>
  <si>
    <t>45-04-003-0990114</t>
  </si>
  <si>
    <t>Lakatosszerkezet elhelyezés</t>
  </si>
  <si>
    <t>47-00-111-0213262</t>
  </si>
  <si>
    <t>47-01-033-0151171</t>
  </si>
  <si>
    <t>47-07-111-0152810</t>
  </si>
  <si>
    <t>Felületképzés</t>
  </si>
  <si>
    <t>44-03-104-0212501</t>
  </si>
  <si>
    <t>44-03-104-0212551</t>
  </si>
  <si>
    <t>44-03-104-0212581</t>
  </si>
  <si>
    <t>11.</t>
  </si>
  <si>
    <t>Ideiglenes gépköltségek</t>
  </si>
  <si>
    <t>12.</t>
  </si>
  <si>
    <t>15.</t>
  </si>
  <si>
    <t xml:space="preserve">Zsaluzás </t>
  </si>
  <si>
    <t>16.</t>
  </si>
  <si>
    <t>Állványozás</t>
  </si>
  <si>
    <t>21.</t>
  </si>
  <si>
    <t>48-02-023-0413101</t>
  </si>
  <si>
    <t>48-02-024-0413101</t>
  </si>
  <si>
    <t>48-03-018-0415581</t>
  </si>
  <si>
    <t>Szigetelés védelmére PE fólia terítése, egy rétegben POLIETILÉN fólia 0,25 mm vtg</t>
  </si>
  <si>
    <t>48-04-014-0313001</t>
  </si>
  <si>
    <t>48-05-017-1211021</t>
  </si>
  <si>
    <t>Aljzat előkészítés, bitumenmázzal, egy rétegben BONOBIT H oldószeres bitumenmáz</t>
  </si>
  <si>
    <t>36-14-040-0440671</t>
  </si>
  <si>
    <t>Tetőfedés</t>
  </si>
  <si>
    <t>48-07-013-3113003</t>
  </si>
  <si>
    <t>31-01-004-0220749</t>
  </si>
  <si>
    <t>43-03-012-0110623</t>
  </si>
  <si>
    <t>Síkalapozás</t>
  </si>
  <si>
    <t>43-02-002-0110002</t>
  </si>
  <si>
    <t>43-02-030-0140602</t>
  </si>
  <si>
    <t>30.</t>
  </si>
  <si>
    <t>Aljzatbetonok</t>
  </si>
  <si>
    <t>32.</t>
  </si>
  <si>
    <t>33.</t>
  </si>
  <si>
    <t>35.</t>
  </si>
  <si>
    <t>36.</t>
  </si>
  <si>
    <t>45.</t>
  </si>
  <si>
    <t>47.</t>
  </si>
  <si>
    <t>48.</t>
  </si>
  <si>
    <t>42.</t>
  </si>
  <si>
    <t>43.</t>
  </si>
  <si>
    <t>41.</t>
  </si>
  <si>
    <t>Hidegburkolás</t>
  </si>
  <si>
    <t>Helyszíni vasbeton munka</t>
  </si>
  <si>
    <t>48-07-014-0090904</t>
  </si>
  <si>
    <t>33-01-001-1110002</t>
  </si>
  <si>
    <t>33-02-062-0127425</t>
  </si>
  <si>
    <t xml:space="preserve">Időarányos gépköltség autódaru </t>
  </si>
  <si>
    <t>óra</t>
  </si>
  <si>
    <t>Gerendazsaluzás alátámasztó állvánnyal, tagozat nélkül, 2,01-4,00 m magasság között</t>
  </si>
  <si>
    <t>Kizárás készítése függőleges és vízszintes vb. szerkezetekben</t>
  </si>
  <si>
    <t>32-02-001-0120002</t>
  </si>
  <si>
    <t>43-03-001-0141401</t>
  </si>
  <si>
    <t>23-03-001-0012611</t>
  </si>
  <si>
    <t>23-03-003-0012311</t>
  </si>
  <si>
    <t>15-04-041-0000000</t>
  </si>
  <si>
    <t>15-04-050-0000000</t>
  </si>
  <si>
    <t>Feljáró készítése homlokzati állványhoz pihenőkkel, korláttal, lábdeszkával, 40,00 m magasságig</t>
  </si>
  <si>
    <t>21-02-001-0000000</t>
  </si>
  <si>
    <t>33-06-001-0110671</t>
  </si>
  <si>
    <t>33-13-051-0210203</t>
  </si>
  <si>
    <t>48-07-013-0090035</t>
  </si>
  <si>
    <t>11-01-001-0000008</t>
  </si>
  <si>
    <t>11-01-001-0000009</t>
  </si>
  <si>
    <t>Munkanem összesen:</t>
  </si>
  <si>
    <t>Ideiglenes melléképítmények</t>
  </si>
  <si>
    <t xml:space="preserve">m3     </t>
  </si>
  <si>
    <t>15-01-011-0000000</t>
  </si>
  <si>
    <t>Oszlopzsaluzás állandó keresztmetszetű, négyszögű 80 cm oldalméretig</t>
  </si>
  <si>
    <t>15-02-002-0000000</t>
  </si>
  <si>
    <t>15-02-008-0000000</t>
  </si>
  <si>
    <t>Síklemez zsaluzása alátámasztó állvánnyal, 4,00 m magasságig</t>
  </si>
  <si>
    <t>33-91-002-0012110</t>
  </si>
  <si>
    <t>Födémáttörések helyreállítása feltöltéssel, 0,1 m2 felületig, zsaluzással előregyártott vagy monolit födémben C8/16-16/KK kavicsbeton keverék CEM 32,5 portlandcementtel, m=6,2</t>
  </si>
  <si>
    <t>Falazás és egyéb kőművesmunkák</t>
  </si>
  <si>
    <t>36-08-020-0000000</t>
  </si>
  <si>
    <t>31-21-024-0241411</t>
  </si>
  <si>
    <t>35-01-004-0680041</t>
  </si>
  <si>
    <t>35-02-011-0192801</t>
  </si>
  <si>
    <t>35-03-001-0410024</t>
  </si>
  <si>
    <t>Tetőlécezés hornyolt cserépfedés alá Fenyő tetőléc 3-6.5 m hosszú 25x50 mm építő</t>
  </si>
  <si>
    <t>36-06-051-0110784</t>
  </si>
  <si>
    <t>36-06-051-0110785</t>
  </si>
  <si>
    <t>33-12-011-1132106</t>
  </si>
  <si>
    <t>21-03-046-0000000</t>
  </si>
  <si>
    <t>21-03-200-0000000</t>
  </si>
  <si>
    <t>21-04-006-0000000</t>
  </si>
  <si>
    <t>Humuszterítés 20 cm vastagságig gépi erővel, kiegészítő kézi munkával vízszintes felületen 50 m-ig</t>
  </si>
  <si>
    <t>21-04-011-0000000</t>
  </si>
  <si>
    <t>Tükörkészítés tömörítés nélkül, gépi erővel kiegészítő kézi munkával sík felületen talajosztály: I-IV.</t>
  </si>
  <si>
    <t>42-02-045-0000000</t>
  </si>
  <si>
    <t>22.</t>
  </si>
  <si>
    <t>23.</t>
  </si>
  <si>
    <t>31.</t>
  </si>
  <si>
    <t>21-11-022-0120601</t>
  </si>
  <si>
    <t>Irtás, föld és sziklamunka</t>
  </si>
  <si>
    <t>22-02-022-0000000</t>
  </si>
  <si>
    <t>Szivárgóépítés és alagcsövezés</t>
  </si>
  <si>
    <t xml:space="preserve">t      </t>
  </si>
  <si>
    <t>Időarányos gépköltség ( betonpumpa ) szerkezetépítés idejére</t>
  </si>
  <si>
    <t>hó</t>
  </si>
  <si>
    <t>Geodéziai mérések és kitűzések építkezés ideje alatt</t>
  </si>
  <si>
    <t>C.A.R. biztosítás díja</t>
  </si>
  <si>
    <t xml:space="preserve">Pipere takarítás készítése átadás-átvétel előtt </t>
  </si>
  <si>
    <t xml:space="preserve">Építési törmelék elszállítása szeméttelepre lerakási díjjal együtt </t>
  </si>
  <si>
    <t xml:space="preserve">Közüzemi díjak víz-villany használat építés idejére </t>
  </si>
  <si>
    <t>Átadási dokumentáció, megvalósulási terv készítése 2 páldányban</t>
  </si>
  <si>
    <t>12-10-001-0000000</t>
  </si>
  <si>
    <t>12-10-001-0000006</t>
  </si>
  <si>
    <t>fm</t>
  </si>
  <si>
    <t>12-10-004-0000001</t>
  </si>
  <si>
    <t>12-10-005-0000001</t>
  </si>
  <si>
    <t>12-11-001-0000000</t>
  </si>
  <si>
    <t>12-11-001-0000001</t>
  </si>
  <si>
    <t>12-11-001-0000002</t>
  </si>
  <si>
    <t>12-11-001-0000003</t>
  </si>
  <si>
    <t>12-11-001-0000006</t>
  </si>
  <si>
    <t>12-11-001-0000008</t>
  </si>
  <si>
    <t xml:space="preserve">Kalocsa szekrény bérlete építkezés idejére gumitömlős vezetékkel, épületben elhelyezve 1db </t>
  </si>
  <si>
    <t>Iroda konténer építkezés idejére 1 db</t>
  </si>
  <si>
    <t>ktg</t>
  </si>
  <si>
    <t>m3</t>
  </si>
  <si>
    <t>m2</t>
  </si>
  <si>
    <t>Válaszfal POROTHERM nútféderes válaszfallapokból, 10 cm vastagságban falazva, POROTHERM 10 N+F válaszfallap, 10x50x23,8 cm, Hf5-mc, falazó, cementes mészhabarcs</t>
  </si>
  <si>
    <t xml:space="preserve">Fa tetőszerkezetek fűrészelt fából, 0,031-0,036 m3/m2 bedolgozott famennyiség között </t>
  </si>
  <si>
    <t>Előregyártott épületszerkezeti elem elhelyezése és szerelése</t>
  </si>
  <si>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</si>
  <si>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</si>
  <si>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</si>
  <si>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</si>
  <si>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</si>
  <si>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</si>
  <si>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</si>
  <si>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</si>
  <si>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</si>
  <si>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</si>
  <si>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</si>
  <si>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</si>
  <si>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m2     </t>
  </si>
  <si>
    <t xml:space="preserve">db     </t>
  </si>
  <si>
    <t xml:space="preserve">m      </t>
  </si>
  <si>
    <t>12-05-017-0000000</t>
  </si>
  <si>
    <t>Csatlakozóhely főkapcsolóval, erőátviteli mérőhely részére</t>
  </si>
  <si>
    <t>31-30-026-0112413</t>
  </si>
  <si>
    <t>31-30-026-0121414</t>
  </si>
  <si>
    <t>31-11-062-0231111</t>
  </si>
  <si>
    <t>31-21-011-0221111</t>
  </si>
  <si>
    <t>34.</t>
  </si>
  <si>
    <t>Szárazépítészet (gipszkarton munka )</t>
  </si>
  <si>
    <t>37.</t>
  </si>
  <si>
    <t>Belső vakolás</t>
  </si>
  <si>
    <t>Homlokzatképzés</t>
  </si>
  <si>
    <t>50.</t>
  </si>
  <si>
    <t>51.</t>
  </si>
  <si>
    <t>52.</t>
  </si>
  <si>
    <t>Alépítményi szigetelések</t>
  </si>
  <si>
    <t>Üzemi és használati víz szigetelések</t>
  </si>
  <si>
    <t>Szerkezeti hőszigetelések</t>
  </si>
  <si>
    <t>66.</t>
  </si>
  <si>
    <t>67.</t>
  </si>
  <si>
    <t>68.</t>
  </si>
  <si>
    <t>42-02-016-0327052</t>
  </si>
  <si>
    <t>Előregyártott vasbeton és kerámiazsalus vasbeton áthidaló beemelése és elhelyezése tartószerkezetre, csomóponti kötés nélkül, 0,10 t/db tömegig POROTHERM kerámia burkolatú nyílásáthidaló, 1,25 m</t>
  </si>
  <si>
    <t>Egyéb szigetelések</t>
  </si>
  <si>
    <t>Hő- és hangszigetelő anyagok elhelyezése, leragasztás, rögzítés nélkül födémen, padlóburkolat alatti felületen ISOVER PE 100/10 szegélyszalag úsztatott aljzatoknál (25 fm/tekercs)</t>
  </si>
  <si>
    <t>21-08-053-0000000</t>
  </si>
  <si>
    <t>35-03-006-0000000</t>
  </si>
  <si>
    <t>35-04-003-0000000</t>
  </si>
  <si>
    <t>Deszkázás ereszdeszkázás gyalult, hornyolt deszkával, hajópadlóval</t>
  </si>
  <si>
    <t>35-04-004-0000000</t>
  </si>
  <si>
    <t>Deszkázás homlokdeszka léctagozattal, gyalulva, 30 cm szélességig</t>
  </si>
  <si>
    <t>35-08-001-0000000</t>
  </si>
  <si>
    <t>Lángmentesítés mázolási technológiával felhordott anyaggal, egyszeri bevonat</t>
  </si>
  <si>
    <t>Ácsmunka</t>
  </si>
  <si>
    <t>36-01-041-0411036</t>
  </si>
  <si>
    <t>36-02-021-0000000</t>
  </si>
  <si>
    <t>Hő- és hangszigetelő anyagok elhelyezése, leragasztás, rögzítés nélkül függőleges sík felületen BASF Styrodur 2500 C XPS-G hőszigetelő lemez 50 mm</t>
  </si>
  <si>
    <t>Belső válaszfalajtó elhelyezése, szerelvényezése kihagyott nyílásba 6,00 m kerületig lemezelt ajtó, tele lemezelt 90x210 cm</t>
  </si>
  <si>
    <t>42-02-016-0327053</t>
  </si>
  <si>
    <t>42-02-179-0115002</t>
  </si>
  <si>
    <t>m</t>
  </si>
  <si>
    <t>47-00-140-0151802</t>
  </si>
  <si>
    <t>47-00-113-0213263</t>
  </si>
  <si>
    <t>Kültéri lazúrozás oldószeres lazúrral két rétegben, gyalult, egyszerű felületen Sadolin Classic vékonylazúr</t>
  </si>
  <si>
    <t>Belső nyílászárók</t>
  </si>
  <si>
    <t>Homlokzati nyílászárók</t>
  </si>
  <si>
    <t>Bejárati ajtók</t>
  </si>
  <si>
    <t>15-02-028-0000000</t>
  </si>
  <si>
    <t>Lépcső zsaluzása alátámasztó állvánnyal, 4,00 m magasság-ig</t>
  </si>
  <si>
    <t>15-09-001-0000000</t>
  </si>
  <si>
    <t>15-10-001-0000000</t>
  </si>
  <si>
    <t>Őrzés-védelen építés idejére 1 fővel munkaidőn túl nyílászáró beépítésekor</t>
  </si>
  <si>
    <t>nap</t>
  </si>
  <si>
    <t>15-09-001-0000002</t>
  </si>
  <si>
    <t>Szélzsaluzás készítése egyoldali alaplemez, födém szélzsalu egyenes</t>
  </si>
  <si>
    <t>Humuszos termőréteg, termőföld leszedése, terítése gépi erővel, 18%-os terephajlásig épület helyén 1 m túlnyúlással</t>
  </si>
  <si>
    <t>22-03-020-0000000</t>
  </si>
  <si>
    <t xml:space="preserve">Vasbeton sávalap készítése C 16/20 -XN-24 F3 kavicsbeton keverék </t>
  </si>
  <si>
    <t>31-01-004-0220750</t>
  </si>
  <si>
    <t xml:space="preserve">Oszlop, pillér készítése vasbetonból; F3 konzisztenciájú betonnal C 30/35 XC3 F3 kavicsbeton keverék </t>
  </si>
  <si>
    <t xml:space="preserve">Vasbeton tartó (gerenda) készítése; 750 cm2 keresztmetszetig, F3 konzisztenciájú betonnal C 30/35 XC3 F3 kavicsbeton keverék </t>
  </si>
  <si>
    <t xml:space="preserve">Sík vasbetonlemez készítése; 12 cm vastagság felett, F3 konzisztenciájú betonnal C 30/35 XC3 F3 kavicsbeton keverék </t>
  </si>
  <si>
    <t>31-30-042-0112110</t>
  </si>
  <si>
    <t xml:space="preserve">Lépcső készítése vasbetonból, F3 konzisztenciájú betonnal C 30/35 XC3 F3 kavicsbeton keverék </t>
  </si>
  <si>
    <t>Falazat POROTHERM KLÍMA kézi falazóblokkból, 30x25x24,9 cm méretű, egész idomokból, falazó, cementes mészhabarcsba falazva POROTHERM 30 KLÍMA kézi falazóblokk, 30x25x24,9 cm, Hf10-mc, falazó, cementes mészhabarcs</t>
  </si>
  <si>
    <t>Gipszkarton dobozolás késztése strangok részére 60 cm kiterített szélességig 2 rtg impregnált GKI lappal fém vázszerkezetre szerelve</t>
  </si>
  <si>
    <t>db</t>
  </si>
  <si>
    <t>Tetőlécezés tetőfelület ellenlécezésének elkészítése 50/50 mm lécből</t>
  </si>
  <si>
    <t>Vakolatháló elhelyezése, függőleges, vízszintes, ferde vagy íves felületen különböző anyagok találkozásánál</t>
  </si>
  <si>
    <t>Baumit hőszigetelő alapvakolat készítése, kézi felhordással, 1 cm vastagságban külső oldalon légzáró alapvakolatként tégla falazott felületen</t>
  </si>
  <si>
    <t>36-06-051-0110787</t>
  </si>
  <si>
    <t>Beeresztő és vakolatszilárdító vizes diszperziós mélyalapozó felhordása egy rétegben, sima felületre Falfix vizes diszperziós mélyalapozó</t>
  </si>
  <si>
    <t>Műanyag-diszperziós festés új felületen, vakolaton, gipszkarton felületen két rétegben, fehér festékkel, sima felületen Intaller diszperziós belső falfesték, fehér</t>
  </si>
  <si>
    <t>Felület előkészítése, részmunkák belső festéseknél; felület vastag glettelése műanyag kötőanyagú készítményekkel (simítóanyaggal), teljes sima betonfelületen, Rimano 6-30 vagy Baumit Finobello, felületkiegyenlítő glettanyaggal mennyezeten</t>
  </si>
  <si>
    <t>47-00-111-0213263</t>
  </si>
  <si>
    <t>Függő ereszcsatorna szerelése félkör szelvényű,  Prefa alu lemezből Függő ereszcsatorna , félkör szelvényű, 33 cm kit.szél.</t>
  </si>
  <si>
    <t>Lefolyócső szerelése kör keresztmetszettel, Prefa alu lemezből Lefolyócső , kör szelvényű, 100 mm átm.</t>
  </si>
  <si>
    <t>Ereszszegély szerelése keményhéjalású tetőhöz, Prefa alu lemezből, Ereszszegély, 25 cm kit.szél.</t>
  </si>
  <si>
    <t xml:space="preserve">Falszegély szerelés keményhéjalású tetőhöz, Prefa alu lemezből, Falszegély 40 cm kiterített szélesség </t>
  </si>
  <si>
    <t>Tömörítés bármely tömörítési osztályban gépi erővel, kis felületen, tömörségi fok: 95% kavicsfeltöltés és talaj feltöltés épületen belül</t>
  </si>
  <si>
    <t>to</t>
  </si>
  <si>
    <t>Megjegyzés</t>
  </si>
  <si>
    <t>Jel</t>
  </si>
  <si>
    <t>Bef</t>
  </si>
  <si>
    <t>Födémek, pillérek, alapok betonozásához</t>
  </si>
  <si>
    <t>Helyszni anyagmozgatás (betonpacélok, faszerkezetek, cserepek, zsaluzatok)</t>
  </si>
  <si>
    <t>Ideiglenes áram ellátás kiépítéséhez</t>
  </si>
  <si>
    <t>Aljzatbetonozást követően nem szükséges.</t>
  </si>
  <si>
    <t>Szerkezetépítés idején sarokpontok kimérése</t>
  </si>
  <si>
    <t xml:space="preserve">Építési szerelési biztosítás a teljes kivitelezési időre vonatkozóan </t>
  </si>
  <si>
    <t>Ideiglenes kerítés építés idejére szükséges helyeken az építési terület elkerítésére (építés, helyszínen tartás)</t>
  </si>
  <si>
    <t>Ideiglenes kerítés építés idejére szükséges helyeken az építési terület elkerítésére (bontás, helyszínen tartás)</t>
  </si>
  <si>
    <t>Mobil WC építkezés idejére 1 db</t>
  </si>
  <si>
    <t>16 db pillérrel számolva szintenként, nem áll rendelkezésre statikus gterv</t>
  </si>
  <si>
    <t>Ideiglenes gépköltség</t>
  </si>
  <si>
    <t>Ideiglenes gépköltség összesen:</t>
  </si>
  <si>
    <t>Ideiglenes melléklétesítmények</t>
  </si>
  <si>
    <t>Ideiglenes melléklétesítmények összesen:</t>
  </si>
  <si>
    <t>Zsaluzási munkák összesen:</t>
  </si>
  <si>
    <t>Zsaluzási munkák</t>
  </si>
  <si>
    <t>Monolit vb. lépcső terv szerint</t>
  </si>
  <si>
    <t>Födém áttörések, strang helyek</t>
  </si>
  <si>
    <t>Épület külső kontúr vonalában</t>
  </si>
  <si>
    <t xml:space="preserve">Sorolt nyílászárók vonalában számolva </t>
  </si>
  <si>
    <t xml:space="preserve">Homlokzati keret állvány készítése szintenkénti pallóterítéssel, korláttal, lábdeszkával, kétlábas, kétpallós kivitelben, 20,00 m magasságig </t>
  </si>
  <si>
    <t>Dél keleti homlokzati felület végleges felület képzése nem készült el</t>
  </si>
  <si>
    <t>minden oldalon egy feljáróval számolva</t>
  </si>
  <si>
    <t xml:space="preserve">Homlokzati keret állvány készítése szintenkénti pallóterítéssel, korláttal, lábdeszkával, kétlábas, kétpallós kivitelben, 20,00 m magasságig  </t>
  </si>
  <si>
    <t>Homlokzati állványzat helyszínen tartása teljes felületre számolva</t>
  </si>
  <si>
    <t>Homlokzati állványzat helyszínen tartása dél-keleti homlokzaton</t>
  </si>
  <si>
    <t>Ideiglenes biztonsági védőkorlát készítése szintenként</t>
  </si>
  <si>
    <t>Talajjavító réteg készítése építményen belül, osztályozatlan kavicsból Természetes szemmegoszlású kavics THK  0/24 O-TT 15 cm vastagságban</t>
  </si>
  <si>
    <t>21-11-022-0120602</t>
  </si>
  <si>
    <t>Talajjavító réteg készítése épületen kívül, osztályozatlan kavicsból Természetes szemmegoszlású kavics THK  0/24 O-TT 15 cm vastagságban járda és teraszok alatti részek</t>
  </si>
  <si>
    <t>Földvisszatöltés munkagödörbe, épületen kívül, teraszok, burkolt felületek alatt tömörítés nélkül, réteges elterítéssel, I-IV. osztályú talajban, kézi erővel, töltő sóder alapok között 20 cm vastagságban</t>
  </si>
  <si>
    <t>Előirányzat, épüket körüli tereprendezés füvesítés előtt</t>
  </si>
  <si>
    <t>Föld elszállítással együtt</t>
  </si>
  <si>
    <t xml:space="preserve">Munkaárok földkiemelése közművesített területen, kézi/gépi erővel, dúcolás nélkül, 2,0 m2 szelvényig, I-II. talajosztály sávalap részére </t>
  </si>
  <si>
    <t>Esővíz elvezetése épület faltól szikkasztóba vezetve PVC csőből, belső átmérő: 100 mm épület két oldalán terv szerinti kivitelben tisztító nyílással együtt</t>
  </si>
  <si>
    <t>Kulé kavics réteg készítése 16-32 mm szemcsemérettel épület melletti szivárgó részére 2 m3/db mérettel</t>
  </si>
  <si>
    <t>Geotextil szűrőréteg 250 g/m2 geotextillel kulékavics körül</t>
  </si>
  <si>
    <t>21-03-091-0000000</t>
  </si>
  <si>
    <t xml:space="preserve">Munkagödör földkiemelése épületek és műtárgyak helyén gépi erővel, kiegészítő kézi munkával, I-IV. oszt. talajban, alapterület: 10,00 m2-ig, 2,0 m mélységig </t>
  </si>
  <si>
    <t>Szikkasztó aknák részére épület körül</t>
  </si>
  <si>
    <t>Járda és terasz alatti részek</t>
  </si>
  <si>
    <t>Épületen belüli feltöltés</t>
  </si>
  <si>
    <t xml:space="preserve">Tömörítés bármely tömörítési osztályban gépi erővel, kis felületen, tömörségi fok: 95% kavicsfeltöltés és talaj feltöltés </t>
  </si>
  <si>
    <t>Épületen belüli</t>
  </si>
  <si>
    <t>Állványozás összesen:</t>
  </si>
  <si>
    <t>Irtás, föld és szikla munka</t>
  </si>
  <si>
    <t>Irtás, föld és sziklamunka összesen:</t>
  </si>
  <si>
    <t>Felületi kulé van terveken, de az nem tud szikkasztóként működni</t>
  </si>
  <si>
    <t xml:space="preserve">Betonacél-szerelés; 6-25 mm átmérőig Betonacél B60.50   szálban </t>
  </si>
  <si>
    <t xml:space="preserve">Vasbeton lemezalap (12 cm vasalt aljzat) készítése C 20/25 XC2 16 F3 kavicsbeton keverék </t>
  </si>
  <si>
    <t>Vasalt aljzat 12 cm vastagságban</t>
  </si>
  <si>
    <t>Betonacél háló elhelyezése 12 mm -es betonacél 15x15-cm-es osztással aljzatbetonokban repedésáthidaló hálóként előre heggesztett betonacél hálóval</t>
  </si>
  <si>
    <t>60 kg/m3 betoancél bedolgozással számolva sávalapban</t>
  </si>
  <si>
    <t>33-02-203-0010403</t>
  </si>
  <si>
    <t>Falazat készítése ZS 30-as zsalukőből, kitöltő beton nélkül, betonacél beépítés külön tételben kiírva Leier ZS 30-as zsaluzóelem, 30/50/23 cm</t>
  </si>
  <si>
    <t>1 sor zsalukő alap lábazatként</t>
  </si>
  <si>
    <t>Szivárgó építés</t>
  </si>
  <si>
    <t>Szivárgó építés összesen:</t>
  </si>
  <si>
    <t>Síkalapozás összesen:</t>
  </si>
  <si>
    <t xml:space="preserve">Aljzatbeton esztrichbetonból 6 cm vastagságig; acélsimítóval simítva C 8-8/FN eszrichbeton keverék </t>
  </si>
  <si>
    <t xml:space="preserve">Aljzatbeton esztrichbetonból 6 cm vastagságig; acélsimítóval simítva C 8-8/FN eszrichbeton keverék lejtésben húzva  </t>
  </si>
  <si>
    <t>Betonacél háló elhelyezése 5 mm -es betonacél 15x15-cm-es osztással aljzatbetonokban repedésáthidaló hálóként előre heggesztett betonacél hálóval</t>
  </si>
  <si>
    <t>Épület belső járó felületek</t>
  </si>
  <si>
    <t>Külső terasz és szélfogó felületek</t>
  </si>
  <si>
    <t>Aljzatbetonok összesen:</t>
  </si>
  <si>
    <t>átlag 180 kg/m3 betonacél mennyiséggel számolva a beton beépítési mennyiséghez képest</t>
  </si>
  <si>
    <t>E-gerendás födém volt tervezve, helyette monolit vasbeton födém készült földszint felett, emelet felett fafödém helyett monolit vb. födém készült</t>
  </si>
  <si>
    <t>Helyszíni beton és vasbeton munkák</t>
  </si>
  <si>
    <t>Helyszíni beton és vasbeton munkák összesen:</t>
  </si>
  <si>
    <t>Előregyártott épületszerkezetek</t>
  </si>
  <si>
    <t>32-02-001-0120006</t>
  </si>
  <si>
    <t>Előregyártott vasbeton és kerámiazsalus vasbeton áthidaló beemelése és elhelyezése tartószerkezetre, csomóponti kötés nélkül, 0,10 t/db tömegig POROTHERM kerámia burkolatú nyílásáthidaló, 2,25 m</t>
  </si>
  <si>
    <t>Falazat kisméretű téglából, falazó, cementes mészhabarcsba falazva Kisméretű tömör tégla 25x12x6,5 cm I.o Hf5-mc, falazó, cementes mészhabarcs fagerendák közötti homlokzati fal kitöltés élére állított téglával</t>
  </si>
  <si>
    <t>Előirányzati mennyiség</t>
  </si>
  <si>
    <t>33-02-164-0127465</t>
  </si>
  <si>
    <t>Falazat POROTHERM nútféderes kézi falazóblokkból, 30x25x23,8 cm méretű, falazó, cementes mészhabarcsba falazva POROTHERM 30 N+F nútféderes kézi falazóblokk, 30x25x23,8 cm, Hf10-mc</t>
  </si>
  <si>
    <t>Külső határoló falak</t>
  </si>
  <si>
    <t>Belső főfalak</t>
  </si>
  <si>
    <t>koszorú feletti rés kifalazásra tetőnél</t>
  </si>
  <si>
    <t>Előregyártott épületszerkezetek összesen:</t>
  </si>
  <si>
    <t>Belsőépítészeti vagy épületgépészeti takarások készítése, YTONG előfalazó lapokból, falazó, cementes mészhabarcsba  falazva (fugavastagság 10 mm), 600x200x50 mm-es elemekkel Pef-5 jelű, 600x200x50 mm méretű elemekből, zuhanyzó eléfalazás</t>
  </si>
  <si>
    <t>Falazás és egyéb kőműves munkák</t>
  </si>
  <si>
    <t>Falazás és egyéb kőműves munkák összesen:</t>
  </si>
  <si>
    <t>KNAUF K 311 tetőtérkiépítés GKF tűzvédelmi építőlemezzel, két rétegben Fa tartószerkezettel, két réteg GKF 15 mm-es építőlemezzel, szigetelő anyag nélkül vízszintes mennyezeti felületeken</t>
  </si>
  <si>
    <t>Lépcsőházi könnyűszerkezetes födémrész fa gerendázat nélkül</t>
  </si>
  <si>
    <t>Szárazépítészet</t>
  </si>
  <si>
    <t>Szárazépítészet összesen:</t>
  </si>
  <si>
    <t xml:space="preserve">Egyszárnyú műanyag kültéri bejárati biztonsági ajtólap elhelyezése és finom beállítása  6,00 m kerület felett bejárati biztonsági ajtólap, sima felülettel beépítési méret: 200/240 cm </t>
  </si>
  <si>
    <t>Bejárati ajtó</t>
  </si>
  <si>
    <t>Bejárati ajtó összesen:</t>
  </si>
  <si>
    <t>Hőszigetelt üvegezésű (3 rétegű), fokozott légzárású műanyag teraszajtó elhelyezése, (szerelvényezve, finom beállítással), előre kihagyott falnyílásba, utólagos elhelyezéssel, tömítés nélkül, műanyag ötkamrás teraszajtó 90/210 cm méretben bukó-nyíló kivitelben</t>
  </si>
  <si>
    <t>Hőszigetelt üvegezésű (3 rétegű), fokozott légzárású műanyag teraszajtó elhelyezése, (szerelvényezve, finom beállítással), előre kihagyott falnyílásba, utólagos elhelyezéssel, tömítés nélkül, műanyag ötkamrás teraszajtó 90/240 cm méretben bukó-nyíló kivitelben</t>
  </si>
  <si>
    <t>Hőszigetelt üvegezésű (3 rétegű), fokozott légzárású műanyag teraszajtó elhelyezése, (szerelvényezve, finom beállítással), előre kihagyott falnyílásba, utólagos elhelyezéssel, tömítés nélkül, műanyag ötkamrás teraszajtó 180/240 cm méretben bukó-nyíló kivitelben</t>
  </si>
  <si>
    <t>Hőszigetelt üvegezésű (3 rétegű), fokozott légzárású műanyag teraszajtó elhelyezése, (szerelvényezve, finom beállítással), előre kihagyott falnyílásba, utólagos elhelyezéssel, tömítés nélkül, műanyag ötkamrás teraszajtó 2x90*240 cm fix és 180/240 cm nyitható részben bukó-nyíló kivitelben</t>
  </si>
  <si>
    <t>44-01-012-0137251</t>
  </si>
  <si>
    <t>Belső válaszfalajtó elhelyezése, szerelvényezése kihagyott nyílásba 6,00 m kerületig lemezelt ajtó, tele lemezelt 75x210 cm</t>
  </si>
  <si>
    <t>44-01-012-0137253</t>
  </si>
  <si>
    <t>Belső válaszfalajtó elhelyezése, szerelvényezése kihagyott nyílásba 6,00 m kerületig lemezelt ajtó, tele lemezelt 180x210 cm</t>
  </si>
  <si>
    <t>Belső válaszfalajtó elhelyezése, szerelvényezése kihagyott nyílásba 6,00 m kerületig lemezelt ajtó, tele lemezelt 100x210 cm</t>
  </si>
  <si>
    <t>Belső nyílászárók összesen:</t>
  </si>
  <si>
    <t xml:space="preserve">Fafödém készítése fenyő gerendákkal terv szerinti kiosztással,vasbeton födémhez rögzítve </t>
  </si>
  <si>
    <t xml:space="preserve">lépcsőház födém </t>
  </si>
  <si>
    <t>Fafödém felső oldali OSB borítás 20 mm vastag OSB lappal</t>
  </si>
  <si>
    <t>Fóliaterítés a szarufákon ellenléccel rögzítve, 10 cm-es átfedéssel, hálóerősítésű tetőfólia BMI BRAMAC BRAMAC Maximum 25 tetőfólia</t>
  </si>
  <si>
    <t xml:space="preserve">Ácsmunkák </t>
  </si>
  <si>
    <t>Ácsmunkák összesen:</t>
  </si>
  <si>
    <t>Hőszigetelt padlásfeljáró ajtó beépítése 70x120 cm mérettel 3,5 m belmagasságig FAKRO LWZ típus</t>
  </si>
  <si>
    <t xml:space="preserve">Fa pergola 50 cm-es tengelytávval, acél papucsba helyezett oszlopokkal </t>
  </si>
  <si>
    <t>vetületi felület</t>
  </si>
  <si>
    <t>Sima vakolat készítése oldalfalon, tégla-, kő- vagy normál betonfelületen, Baumit alapvakolattal, kézi felhordással, zsákos kiszerelésű anyagból, 1-1,5 cm vastagságban kiegészítő vakoló élvédőkkel és sínekkel</t>
  </si>
  <si>
    <t>36-09-012-0000000</t>
  </si>
  <si>
    <t>Keskenyvalkolatok készítése 10-25 cm szélesésgben nyílászárók káva vakolása</t>
  </si>
  <si>
    <t>36-09-012-0000001</t>
  </si>
  <si>
    <t xml:space="preserve">Keskenyvakolatok készítése gépészeti és elektromos vezetékek horony javítása </t>
  </si>
  <si>
    <t>Belső vakolás összesen:</t>
  </si>
  <si>
    <t xml:space="preserve">Hőszigetelő homlokzati bevonat készítése, egy réteg polisztirolhab tábla felragasztása után tapaszba ágyazott üvegszövet erősítésű vékonyvakolatta l10 cm AUSTROTHERM hőszigetelés mennyezeten lefelé hülő födémnél   </t>
  </si>
  <si>
    <t>Hőszigetelő homlokzati bevonat készítése, egy réteg polisztirolhab tábla felragasztása után tapaszba ágyazott üvegszövet erősítésű vékonyvakolattal 10 cm AUSTROTHERM hőszigetelés oldalfalon</t>
  </si>
  <si>
    <t>Hőszigetelő homlokzati bevonat készítése, egy réteg XPS tábla felragasztása után tapaszba ágyazott üvegszövet erősítésű vékonyvakolattal  10 cm AUSTROTHERM XPS hőszigetelés lábazati zónában</t>
  </si>
  <si>
    <t xml:space="preserve">Hőszigetelő homlokzati bevonaton dörzsvakolat készítése,  I. színcsoport 1. szemcsenagyság kategória: (1,0-1,5 mm) DRYVIT rendszer záró rétege alapozással együtt  </t>
  </si>
  <si>
    <t>Homlokzatképzés összesen:</t>
  </si>
  <si>
    <t>36-08-042-0000000</t>
  </si>
  <si>
    <t xml:space="preserve">Lábazati vakolat készítése 30 cm magasságig Baumit Mosaik Top műgyantás lábazati valkolatattal </t>
  </si>
  <si>
    <t>41-04-001-0130201</t>
  </si>
  <si>
    <t>41-04-010-0130205</t>
  </si>
  <si>
    <t>41-04-010-0130206</t>
  </si>
  <si>
    <t>41-04-010-0130207</t>
  </si>
  <si>
    <t>41-04-011-0193109</t>
  </si>
  <si>
    <t>41-04-013-0193206</t>
  </si>
  <si>
    <t>BRAMAC tetőcserép fedésnél tetőkibúvó ablak elhelyezése BRAMAC Univerzális tetőkibúvó ablak, (minden egyéb tetőrendszerhez)</t>
  </si>
  <si>
    <t>41-04-015-0192517</t>
  </si>
  <si>
    <t>BRAMAC tetőcserép fedésnél szellőzőszalag elhelyezése eresznél BRAMAC szellőzőszalag</t>
  </si>
  <si>
    <t>41-04-015-0193008</t>
  </si>
  <si>
    <t>BRAMAC tetőcserép fedésnél lezárófésű elhelyezése eresznél BRAMAC lezárófésű</t>
  </si>
  <si>
    <t>41-04-015-0193015</t>
  </si>
  <si>
    <t>41-04-015-0193016</t>
  </si>
  <si>
    <t>BRAMAC tetőcserép fedésnél szellőzőléc elhelyezése eresznél BRAMAC szellőző léc</t>
  </si>
  <si>
    <t>41-04-024-0193146</t>
  </si>
  <si>
    <t>BRAMAC tetőcserép fedésnél szellőző BRAMAC Római Ptotector szellőzőcserép</t>
  </si>
  <si>
    <t>BRAMAC tetőcserép fedésnél átvezetőcserép elhelyezése BRAMAC Római Ptotector átvezetőcserép</t>
  </si>
  <si>
    <t>BRAMAC tetőcserép fedésnél csatornaszellőző elhelyezése, csőcsatlakozóval, szűkítő idommal BRAMAC Római Ptotector csatornaszellőző, komplett</t>
  </si>
  <si>
    <t>BRAMAC tetőcserép fedésnél szegélycserép BRAMAC Római Ptotector jobbos-balos szegélycseréppel</t>
  </si>
  <si>
    <t>41-04-001-0130202</t>
  </si>
  <si>
    <t>41-04-013-0193207</t>
  </si>
  <si>
    <t>Egyszeres betoncserép fedésnél fém hófogó elhelyezése teljes felületen ereszhosszhoz számolva</t>
  </si>
  <si>
    <t>BRAMAC Hódfarkú vagy Téglány betoncserép tetőfedésnél taréjgerinc, élgerinc készítése, kúpcseréppel, élgerinc és taréjgerincszalaggal és univerzális öntapadó kúpalátéttel BRAMAC</t>
  </si>
  <si>
    <t>BRAMAC tetőcserép fedésnél  járórács elhelyezése fogadó elemmel együtt</t>
  </si>
  <si>
    <t>BRAMAC tetőcserép fedésnél vápaszegély elhelyezése vápánál BRAMAC vápaszegély, kétoldali, vápánál vápalezáró szalaggal együtt</t>
  </si>
  <si>
    <t>Tetőfedés összesen:</t>
  </si>
  <si>
    <t>Tetőfedés BRAMAC tetőcseréppel, 45 fok tetőhajlásszögig BRAMAC Római Ptotector tetőcserép 1/1 Antracit színben</t>
  </si>
  <si>
    <t>Épület körüli beton járda készítése tükör készítéssel 15 cm kavics terítéssel, hálós vasalással, szükséges zsaluzási munkákkal, betonozással 8 cm vastagságban</t>
  </si>
  <si>
    <t>42-02-165-0000001</t>
  </si>
  <si>
    <t>42-02-65-0100001</t>
  </si>
  <si>
    <t>Lábazatburkolat egyenes, egysoros kivitelben, saját anyagából vágva 8-10 cm magasságban, beltérban</t>
  </si>
  <si>
    <t>Lábazatburkolat lépcsős kivitelben saját anyagából vágva 8-10 cm magasságig</t>
  </si>
  <si>
    <t>Padlóburkolat választott kerámia lapokból 20x20 - 60x60 cm-es lapméret között hálóban rakva lábzat nélkül beltérben anyagár 4800 Ft/m2 nettó lapárral számolva</t>
  </si>
  <si>
    <t>Padlóburkolat gress lapokból 20x20 - 60x60 cm-es lapméret között fagyálló hálósan rakva lábazat nélkül kültérben teraszoknál anyagár 5200 Ft/m2 nettó lapárral számolva</t>
  </si>
  <si>
    <t>Falburkolat választott kerámia lapokból 20x20 -60x60 cm-es lapméretig hálóban rakva vizesblokkokban 2,1 m magasságig számolva anyagár 4500 Ft/m2 nettó lapárral számolva</t>
  </si>
  <si>
    <t>Lépcsőburkolat készítése 30x30 cm-es gress lépcsőlapból homloklap és belépő lábazat nélkül anyagár 4800 Ft/fm nettó lapárral számolva</t>
  </si>
  <si>
    <t>Hát</t>
  </si>
  <si>
    <t>Elektromos munkák</t>
  </si>
  <si>
    <t>Gépészeti munkák</t>
  </si>
  <si>
    <t>Építészet-statika</t>
  </si>
  <si>
    <t>Műanyag ablak elhelyezése utólagos elhelyezéssel, 3 rétegű hőszigetelő üvegezéssel, (szerelvényezéssel, illesztéssel) 4,00 m kerületig ötkamrás műanyag szerkezettel bukó-nyíló kivitelben, fehér színben 90x90 cm külső műanyag párkánnyal</t>
  </si>
  <si>
    <t>Műanyag ablak elhelyezése utólagos elhelyezéssel, 3 rétegű hőszigetelő üvegezéssel, (szerelvényezéssel, illesztéssel) 4,00 m kerületig ötkamrás műanyag szerkezettel bukó-nyíló kivitelben, fehér színben 90x150 cm külső műanyag párkánnyal</t>
  </si>
  <si>
    <t>Műanyag ablak elhelyezése utólagos elhelyezéssel, 3 rétegű hőszigetelő üvegezéssel, (szerelvényezéssel, illesztéssel) 4,00 m kerületig ötkamrás műanyag szerkezettel bukó-nyíló kivitelben, fehér színben 100x150 cm külső műanyag párkánnyal</t>
  </si>
  <si>
    <t>Hajlatbádogozás korcolt, egyenes kivitelben Prefa alu lemezből, 45 cm kiterített szélességben Hajlatbádog , 45 cm kit.szél.</t>
  </si>
  <si>
    <t>43-05-003-0111650</t>
  </si>
  <si>
    <t>Kétvízoros fallefedés Prefa alu lemezből, 0,65 mm H, 50 cm kit.szél.</t>
  </si>
  <si>
    <t>35-04-002-0000000</t>
  </si>
  <si>
    <t>Deszkázás ereszdeszkázás, bádogozás vagy ereszlemez alá, zsaludeszkával</t>
  </si>
  <si>
    <t>43-01-003-0610075</t>
  </si>
  <si>
    <t>43-01-528-0148951</t>
  </si>
  <si>
    <t xml:space="preserve">Szellőző alátétszőnyeg fektetése Bauder alátétszőnyeggel fémlemezfedés alatt, a fedés alsó oldalának hatékonyabb szellőztetésére és a kopogó esőhang csökkentésére </t>
  </si>
  <si>
    <t>Hidegburkolás összesen:</t>
  </si>
  <si>
    <t xml:space="preserve"> anyagár 4800 Ft/m2 nettó lapárral számolva</t>
  </si>
  <si>
    <t>anyagár 5200 Ft/m2 nettó lapárral számolva</t>
  </si>
  <si>
    <t>anyagár 4500 Ft/m2 nettó lapárral számolva</t>
  </si>
  <si>
    <t>anyagár 4800 Ft/fm nettó lapárral számolva</t>
  </si>
  <si>
    <t>Bádogozás összesen:</t>
  </si>
  <si>
    <t>Sima fémlemez fedés egyszerű korcolt kivitelben Prefa alu lemezből 0,65 mm</t>
  </si>
  <si>
    <t>Cső kézfogó elhelyezése, falba szerelve Csőkézfogó festett acél 52 mm csőből</t>
  </si>
  <si>
    <t>Lakatos szerkezetek</t>
  </si>
  <si>
    <t>Lakatos szerkezetek összesen:</t>
  </si>
  <si>
    <t>Fa gerenda felületek gyalulása helyszínen látszó gerenda szerkezeteknél</t>
  </si>
  <si>
    <t>Fa gerenda felületek gyalulása helyszínen a pergola gerenda szerkezeteknél</t>
  </si>
  <si>
    <t>Felületképzés összesen:</t>
  </si>
  <si>
    <t>Felület előkészítése, részmunkák belső festéseknél; felület glettelése műanyag kötőanyagú készítményekkel (simítóanyaggal), teljes sima vakolt felületen, Rigipsz 0-10 beltéri, felületkiegyenlítő glettanyaggal két rétegben</t>
  </si>
  <si>
    <t>Felület előkészítése, részmunkák belső festéseknél; felület glettelése műanyag kötőanyagú készítményekkel (simítóanyaggal), teljes sima gipszkarton felületen, Rigipsz 0-10 beltéri, felületkiegyenlítő glettanyaggal két rétegben</t>
  </si>
  <si>
    <t>Talajpára elleni szigetelés, polimerbitumenes lemezzel, egy rétegben, vízszintes felületen ELASTOVILL E-G 4 F/K</t>
  </si>
  <si>
    <t>Talajpára elleni szigetelés, polimerbitumenes lemezzel, egy rétegben, függőleges felületen ELASTOVILL E-G 4 F/K lábazati zónában</t>
  </si>
  <si>
    <t>Alépítményi szigetelés</t>
  </si>
  <si>
    <t>Alépítményi szigetelés összesen:</t>
  </si>
  <si>
    <t xml:space="preserve">Üzemi víz elleni szigetelés, kent szigetelőanyaggal, két rétegben MAPEI MAPELASTIC kétkomponensű kent vízszigetelő anyag </t>
  </si>
  <si>
    <t>Negatív és pozitív sarkokon</t>
  </si>
  <si>
    <t>Hajlaterősítő szalag elhelyezése kent szigetelésnél negatív és pozitív sarkokban</t>
  </si>
  <si>
    <t>Üzemi és használati víz szigetelések összesen:</t>
  </si>
  <si>
    <t>vízszintes és függőleges felületen vizesblokkokban (zuhanyzóban 2,1 m-ig wc és mosdó mögött 1,5 m-ig számolva függőleges felületen)</t>
  </si>
  <si>
    <t>Szerkezeti hőszigetelések összesen:</t>
  </si>
  <si>
    <t>Koszorúk, pillérek, gerndák külső oldali hőszigetelése</t>
  </si>
  <si>
    <t>48-07-013-3113240</t>
  </si>
  <si>
    <t>Hő- és hangszigetelő anyagok elhelyezése, leragasztás, rögzítés nélkül födémen, padlóburkolat alatti felületen AUSTROTHERM normál hőszigetelő lemez AT-N100 100 mm</t>
  </si>
  <si>
    <t>Hő- és hangszigetelő anyagok elhelyezése, leragasztás, rögzítés nélkül vízszintes sík felületen ROCKWOOL Multirock  kőzetgyapot hőszigetelés, kasírozás nélkül,  150 mm</t>
  </si>
  <si>
    <t>Hő- és hangszigetelő anyagok elhelyezése, leragasztás, rögzítés nélkül vízszintes sík felületen ROCKWOOL Multirock  kőzetgyapot hőszigetelés, kasírozás nélkül,  100 mm</t>
  </si>
  <si>
    <t>Hő- és hangszigetelő anyagok elhelyezése, leragasztás, rögzítés nélkül födémen, padlóburkolat alatti felületen AUSTROTHERM lépéshangszigetelő lemez AT-L 2 40 mm</t>
  </si>
  <si>
    <t xml:space="preserve">Kerepes Város Sportegyesület </t>
  </si>
  <si>
    <t>Sportpálya kiszolgáló épület építése</t>
  </si>
  <si>
    <t>FŐÖSSZESÍTŐ</t>
  </si>
  <si>
    <t>TELJESKÖRŰ KIVITELEZÉSI KÖLTSÉG BECSLÉS</t>
  </si>
  <si>
    <t>%-os készültség (helysznen látottak alapján)</t>
  </si>
  <si>
    <t>Hátralévő %-os hányad (teljes költségre vonatkoztatva)</t>
  </si>
  <si>
    <t>Hátralévő munkák összesen (Anyag+Díj)</t>
  </si>
  <si>
    <t>Befejezett munkák összesen (Anyag+Díj)</t>
  </si>
  <si>
    <t>Befejezett munkák:</t>
  </si>
  <si>
    <t>Hátralévő munkák:</t>
  </si>
  <si>
    <t>Teljes kivitelezési költség 
Anyag +Díj összege</t>
  </si>
  <si>
    <t>Víz-csatorna rendszer alapvezetékezés + szerelvényezés</t>
  </si>
  <si>
    <t>Szerelvényezés (lámpák, kapcsolók, dugaljak)</t>
  </si>
  <si>
    <t xml:space="preserve">Védőcsövezés, kábelezés, elosztó szerelés </t>
  </si>
  <si>
    <t>Fűtés - gáz alapvezetékezés + szerelvényezés</t>
  </si>
  <si>
    <t>Szellőzés alapvezetékezés + szerelvényezés</t>
  </si>
  <si>
    <t>Egyéb szigetelések összesen:</t>
  </si>
  <si>
    <t>Vízóra akna készítése szabványos mérettel,  10 cm alaplemezzel, 15 cm-es zsalukő fallal, teteéjén vasbeton járható födémmel és aknafedlappal</t>
  </si>
  <si>
    <t>klt</t>
  </si>
  <si>
    <t>Gázóra részére fogadó fal készítése épületen kívül hatóság által meghatározott méretekkel, alapozással, zsalukő falazattal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</si>
</sst>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0.0%"/>
  </numFmts>
  <fonts count="10" x14ac:knownFonts="1">
    <font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0" fontId="3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4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center"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164" fontId="2" fillId="3" borderId="1" xfId="0" applyNumberFormat="1" applyFont="1" applyFill="1" applyBorder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165" fontId="3" fillId="3" borderId="0" xfId="0" applyNumberFormat="1" applyFont="1" applyFill="1" applyAlignment="1">
      <alignment horizontal="center" vertical="top" wrapText="1"/>
    </xf>
    <xf numFmtId="165" fontId="3" fillId="3" borderId="0" xfId="0" applyNumberFormat="1" applyFont="1" applyFill="1" applyAlignment="1">
      <alignment vertical="top" wrapText="1"/>
    </xf>
    <xf numFmtId="165" fontId="2" fillId="3" borderId="0" xfId="0" applyNumberFormat="1" applyFont="1" applyFill="1" applyAlignment="1">
      <alignment vertical="top" wrapText="1"/>
    </xf>
    <xf numFmtId="165" fontId="2" fillId="3" borderId="1" xfId="0" applyNumberFormat="1" applyFont="1" applyFill="1" applyBorder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view="pageBreakPreview" topLeftCell="A37" zoomScaleNormal="100" zoomScaleSheetLayoutView="100" zoomScalePageLayoutView="50" workbookViewId="0">
      <selection activeCell="J48" sqref="J48"/>
    </sheetView>
  </sheetViews>
  <sheetFormatPr defaultColWidth="9.109375" defaultRowHeight="11.4" x14ac:dyDescent="0.25"/>
  <cols>
    <col min="1" max="1" width="5.6640625" style="1" customWidth="1"/>
    <col min="2" max="2" width="36.44140625" style="1" customWidth="1"/>
    <col min="3" max="5" width="15.77734375" style="4" customWidth="1"/>
    <col min="6" max="6" width="2.44140625" style="4" customWidth="1"/>
    <col min="7" max="7" width="15.77734375" style="4" customWidth="1"/>
    <col min="8" max="8" width="15.77734375" style="31" customWidth="1"/>
    <col min="9" max="9" width="2.44140625" style="31" customWidth="1"/>
    <col min="10" max="10" width="15.77734375" style="4" customWidth="1"/>
    <col min="11" max="11" width="15.77734375" style="31" customWidth="1"/>
    <col min="12" max="13" width="9.109375" style="4"/>
    <col min="14" max="16384" width="9.109375" style="1"/>
  </cols>
  <sheetData>
    <row r="1" spans="1:13" ht="15.6" customHeight="1" x14ac:dyDescent="0.25">
      <c r="A1" s="49" t="s">
        <v>441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15.6" customHeight="1" x14ac:dyDescent="0.25">
      <c r="A2" s="49" t="s">
        <v>442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3" ht="17.399999999999999" customHeight="1" x14ac:dyDescent="0.25">
      <c r="A4" s="50" t="s">
        <v>443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3" ht="13.2" customHeight="1" x14ac:dyDescent="0.25">
      <c r="A6" s="51" t="s">
        <v>444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3" ht="13.2" x14ac:dyDescent="0.25">
      <c r="A7" s="26"/>
      <c r="B7" s="26"/>
      <c r="C7" s="26"/>
      <c r="D7" s="26"/>
      <c r="E7" s="26"/>
      <c r="F7" s="26"/>
    </row>
    <row r="8" spans="1:13" s="2" customFormat="1" ht="48" x14ac:dyDescent="0.25">
      <c r="A8" s="27"/>
      <c r="B8" s="28" t="s">
        <v>139</v>
      </c>
      <c r="C8" s="29" t="s">
        <v>140</v>
      </c>
      <c r="D8" s="29" t="s">
        <v>141</v>
      </c>
      <c r="E8" s="47" t="s">
        <v>451</v>
      </c>
      <c r="F8" s="38"/>
      <c r="G8" s="47" t="s">
        <v>448</v>
      </c>
      <c r="H8" s="32" t="s">
        <v>445</v>
      </c>
      <c r="I8" s="43"/>
      <c r="J8" s="47" t="s">
        <v>447</v>
      </c>
      <c r="K8" s="32" t="s">
        <v>446</v>
      </c>
      <c r="L8" s="3"/>
      <c r="M8" s="3"/>
    </row>
    <row r="9" spans="1:13" s="2" customFormat="1" ht="12" x14ac:dyDescent="0.25">
      <c r="A9" s="1"/>
      <c r="C9" s="14"/>
      <c r="D9" s="14"/>
      <c r="E9" s="14"/>
      <c r="F9" s="39"/>
      <c r="G9" s="3"/>
      <c r="H9" s="33"/>
      <c r="I9" s="44"/>
      <c r="J9" s="3"/>
      <c r="K9" s="33"/>
      <c r="L9" s="3"/>
      <c r="M9" s="3"/>
    </row>
    <row r="10" spans="1:13" s="2" customFormat="1" ht="13.8" x14ac:dyDescent="0.25">
      <c r="A10" s="1"/>
      <c r="B10" s="48" t="s">
        <v>398</v>
      </c>
      <c r="C10" s="48"/>
      <c r="D10" s="48"/>
      <c r="E10" s="48"/>
      <c r="F10" s="39"/>
      <c r="G10" s="3"/>
      <c r="H10" s="33"/>
      <c r="I10" s="44"/>
      <c r="J10" s="3"/>
      <c r="K10" s="33"/>
      <c r="L10" s="3"/>
      <c r="M10" s="3"/>
    </row>
    <row r="11" spans="1:13" s="2" customFormat="1" ht="12" x14ac:dyDescent="0.25">
      <c r="A11" s="1" t="s">
        <v>20</v>
      </c>
      <c r="B11" s="1" t="s">
        <v>21</v>
      </c>
      <c r="C11" s="25">
        <f>'Ideiglenes gépköltség (11)'!I10</f>
        <v>0</v>
      </c>
      <c r="D11" s="25">
        <f>'Ideiglenes gépköltség (11)'!J10</f>
        <v>1220000</v>
      </c>
      <c r="E11" s="25">
        <f>C11+D11</f>
        <v>1220000</v>
      </c>
      <c r="F11" s="40"/>
      <c r="G11" s="4">
        <f>'Ideiglenes gépköltség (11)'!I3+'Ideiglenes gépköltség (11)'!J3</f>
        <v>1220000</v>
      </c>
      <c r="H11" s="31">
        <f>G11/E11</f>
        <v>1</v>
      </c>
      <c r="I11" s="45"/>
      <c r="J11" s="4">
        <f>E11-G11</f>
        <v>0</v>
      </c>
      <c r="K11" s="31">
        <f>1-H11</f>
        <v>0</v>
      </c>
      <c r="L11" s="3"/>
      <c r="M11" s="30"/>
    </row>
    <row r="12" spans="1:13" ht="12" x14ac:dyDescent="0.25">
      <c r="A12" s="1" t="s">
        <v>22</v>
      </c>
      <c r="B12" s="1" t="s">
        <v>78</v>
      </c>
      <c r="C12" s="4">
        <f>'Ideiglenes melléképítmények(12)'!I25</f>
        <v>825302.5</v>
      </c>
      <c r="D12" s="4">
        <f>'Ideiglenes melléképítmények(12)'!J25</f>
        <v>5388745</v>
      </c>
      <c r="E12" s="25">
        <f t="shared" ref="E12:E44" si="0">C12+D12</f>
        <v>6214047.5</v>
      </c>
      <c r="F12" s="40"/>
      <c r="G12" s="4">
        <f>'Ideiglenes melléképítmények(12)'!I3+'Ideiglenes melléképítmények(12)'!J3</f>
        <v>4928500</v>
      </c>
      <c r="H12" s="31">
        <f>G12/E12</f>
        <v>0.79312235704667533</v>
      </c>
      <c r="I12" s="45"/>
      <c r="J12" s="4">
        <f>E12-G12</f>
        <v>1285547.5</v>
      </c>
      <c r="K12" s="31">
        <f t="shared" ref="K12:K46" si="1">1-H12</f>
        <v>0.20687764295332467</v>
      </c>
      <c r="M12" s="30"/>
    </row>
    <row r="13" spans="1:13" ht="12" x14ac:dyDescent="0.25">
      <c r="A13" s="1" t="s">
        <v>23</v>
      </c>
      <c r="B13" s="1" t="s">
        <v>24</v>
      </c>
      <c r="C13" s="4">
        <f>'Zsaluzás (15)'!I14</f>
        <v>5032988.2</v>
      </c>
      <c r="D13" s="4">
        <f>'Zsaluzás (15)'!J14</f>
        <v>5633150.5999999996</v>
      </c>
      <c r="E13" s="25">
        <f t="shared" si="0"/>
        <v>10666138.800000001</v>
      </c>
      <c r="F13" s="40"/>
      <c r="G13" s="4">
        <f>'Zsaluzás (15)'!I3+'Zsaluzás (15)'!J3</f>
        <v>10666138.800000001</v>
      </c>
      <c r="H13" s="31">
        <f t="shared" ref="H13:H46" si="2">G13/E13</f>
        <v>1</v>
      </c>
      <c r="I13" s="45"/>
      <c r="J13" s="4">
        <f t="shared" ref="J13:J44" si="3">E13-G13</f>
        <v>0</v>
      </c>
      <c r="K13" s="31">
        <f t="shared" si="1"/>
        <v>0</v>
      </c>
      <c r="M13" s="30"/>
    </row>
    <row r="14" spans="1:13" ht="12" x14ac:dyDescent="0.25">
      <c r="A14" s="1" t="s">
        <v>25</v>
      </c>
      <c r="B14" s="1" t="s">
        <v>26</v>
      </c>
      <c r="C14" s="4">
        <f>'Állványozás (16)'!I15</f>
        <v>1073175</v>
      </c>
      <c r="D14" s="4">
        <f>'Állványozás (16)'!J15</f>
        <v>1834740</v>
      </c>
      <c r="E14" s="25">
        <f t="shared" si="0"/>
        <v>2907915</v>
      </c>
      <c r="F14" s="40"/>
      <c r="G14" s="4">
        <f>'Állványozás (16)'!I3+'Állványozás (16)'!J3</f>
        <v>2856765</v>
      </c>
      <c r="H14" s="31">
        <f t="shared" si="2"/>
        <v>0.9824100773234431</v>
      </c>
      <c r="I14" s="45"/>
      <c r="J14" s="4">
        <f t="shared" si="3"/>
        <v>51150</v>
      </c>
      <c r="K14" s="31">
        <f t="shared" si="1"/>
        <v>1.7589922676556902E-2</v>
      </c>
      <c r="M14" s="30"/>
    </row>
    <row r="15" spans="1:13" ht="12" x14ac:dyDescent="0.25">
      <c r="A15" s="1" t="s">
        <v>27</v>
      </c>
      <c r="B15" s="1" t="s">
        <v>108</v>
      </c>
      <c r="C15" s="4">
        <f>'Irtás, föld és sziklamunka (21)'!I19</f>
        <v>1920042.38</v>
      </c>
      <c r="D15" s="4">
        <f>'Irtás, föld és sziklamunka (21)'!J19</f>
        <v>2774384.8</v>
      </c>
      <c r="E15" s="25">
        <f t="shared" si="0"/>
        <v>4694427.18</v>
      </c>
      <c r="F15" s="40"/>
      <c r="G15" s="4">
        <f>'Irtás, föld és sziklamunka (21)'!I3+'Irtás, föld és sziklamunka (21)'!J3</f>
        <v>2482562.04</v>
      </c>
      <c r="H15" s="31">
        <f t="shared" si="2"/>
        <v>0.52883172851772731</v>
      </c>
      <c r="I15" s="45"/>
      <c r="J15" s="4">
        <f t="shared" si="3"/>
        <v>2211865.1399999997</v>
      </c>
      <c r="K15" s="31">
        <f t="shared" si="1"/>
        <v>0.47116827148227269</v>
      </c>
      <c r="M15" s="30"/>
    </row>
    <row r="16" spans="1:13" ht="12" x14ac:dyDescent="0.25">
      <c r="A16" s="1" t="s">
        <v>104</v>
      </c>
      <c r="B16" s="1" t="s">
        <v>110</v>
      </c>
      <c r="C16" s="4">
        <f>'Szivárgóép és alagcsöv (22) '!I11</f>
        <v>467900</v>
      </c>
      <c r="D16" s="4">
        <f>'Szivárgóép és alagcsöv (22) '!J11</f>
        <v>202380</v>
      </c>
      <c r="E16" s="25">
        <f t="shared" si="0"/>
        <v>670280</v>
      </c>
      <c r="F16" s="40"/>
      <c r="G16" s="4">
        <f>'Szivárgóép és alagcsöv (22) '!I3+'Szivárgóép és alagcsöv (22) '!J3</f>
        <v>0</v>
      </c>
      <c r="H16" s="31">
        <f t="shared" si="2"/>
        <v>0</v>
      </c>
      <c r="I16" s="45"/>
      <c r="J16" s="4">
        <f t="shared" si="3"/>
        <v>670280</v>
      </c>
      <c r="K16" s="31">
        <f t="shared" si="1"/>
        <v>1</v>
      </c>
      <c r="M16" s="30"/>
    </row>
    <row r="17" spans="1:13" ht="12" x14ac:dyDescent="0.25">
      <c r="A17" s="1" t="s">
        <v>105</v>
      </c>
      <c r="B17" s="1" t="s">
        <v>40</v>
      </c>
      <c r="C17" s="4">
        <f>'Síkalapozás (23)'!I13</f>
        <v>4005421.5</v>
      </c>
      <c r="D17" s="4">
        <f>'Síkalapozás (23)'!J13</f>
        <v>1296016.5</v>
      </c>
      <c r="E17" s="25">
        <f t="shared" si="0"/>
        <v>5301438</v>
      </c>
      <c r="F17" s="40"/>
      <c r="G17" s="4">
        <f>'Síkalapozás (23)'!I3+'Síkalapozás (23)'!J3</f>
        <v>5301438</v>
      </c>
      <c r="H17" s="31">
        <f t="shared" si="2"/>
        <v>1</v>
      </c>
      <c r="I17" s="45"/>
      <c r="J17" s="4">
        <f t="shared" si="3"/>
        <v>0</v>
      </c>
      <c r="K17" s="31">
        <f t="shared" si="1"/>
        <v>0</v>
      </c>
      <c r="M17" s="30"/>
    </row>
    <row r="18" spans="1:13" ht="12" x14ac:dyDescent="0.25">
      <c r="A18" s="1" t="s">
        <v>43</v>
      </c>
      <c r="B18" s="1" t="s">
        <v>44</v>
      </c>
      <c r="C18" s="4">
        <f>'Aljzatbetonok (30)'!I12</f>
        <v>1973624</v>
      </c>
      <c r="D18" s="4">
        <f>'Aljzatbetonok (30)'!J12</f>
        <v>1814153.9</v>
      </c>
      <c r="E18" s="25">
        <f t="shared" si="0"/>
        <v>3787777.9</v>
      </c>
      <c r="F18" s="40"/>
      <c r="G18" s="4">
        <f>'Aljzatbetonok (30)'!I3+'Aljzatbetonok (30)'!J3</f>
        <v>3116350.5</v>
      </c>
      <c r="H18" s="31">
        <f t="shared" si="2"/>
        <v>0.8227384451448434</v>
      </c>
      <c r="I18" s="45"/>
      <c r="J18" s="4">
        <f t="shared" si="3"/>
        <v>671427.39999999991</v>
      </c>
      <c r="K18" s="31">
        <f t="shared" si="1"/>
        <v>0.1772615548551566</v>
      </c>
      <c r="M18" s="30"/>
    </row>
    <row r="19" spans="1:13" ht="12" x14ac:dyDescent="0.25">
      <c r="A19" s="1" t="s">
        <v>106</v>
      </c>
      <c r="B19" s="1" t="s">
        <v>56</v>
      </c>
      <c r="C19" s="4">
        <f>'Helyszíni beton és vb. (31)'!I16</f>
        <v>13572539</v>
      </c>
      <c r="D19" s="4">
        <f>'Helyszíni beton és vb. (31)'!J16</f>
        <v>5570634</v>
      </c>
      <c r="E19" s="25">
        <f t="shared" si="0"/>
        <v>19143173</v>
      </c>
      <c r="F19" s="40"/>
      <c r="G19" s="4">
        <f>'Helyszíni beton és vb. (31)'!I3+'Helyszíni beton és vb. (31)'!J3</f>
        <v>18423918</v>
      </c>
      <c r="H19" s="31">
        <f t="shared" si="2"/>
        <v>0.96242759755658058</v>
      </c>
      <c r="I19" s="45"/>
      <c r="J19" s="4">
        <f t="shared" si="3"/>
        <v>719255</v>
      </c>
      <c r="K19" s="31">
        <f t="shared" si="1"/>
        <v>3.7572402443419417E-2</v>
      </c>
      <c r="M19" s="30"/>
    </row>
    <row r="20" spans="1:13" ht="22.8" x14ac:dyDescent="0.25">
      <c r="A20" s="1" t="s">
        <v>45</v>
      </c>
      <c r="B20" s="1" t="s">
        <v>138</v>
      </c>
      <c r="C20" s="4">
        <f>'Előregyártott épületszerk. (32)'!I10</f>
        <v>148180</v>
      </c>
      <c r="D20" s="4">
        <f>'Előregyártott épületszerk. (32)'!J10</f>
        <v>140000</v>
      </c>
      <c r="E20" s="25">
        <f t="shared" si="0"/>
        <v>288180</v>
      </c>
      <c r="F20" s="40"/>
      <c r="G20" s="4">
        <f>'Előregyártott épületszerk. (32)'!I3+'Előregyártott épületszerk. (32)'!J3</f>
        <v>288180</v>
      </c>
      <c r="H20" s="31">
        <f t="shared" si="2"/>
        <v>1</v>
      </c>
      <c r="I20" s="45"/>
      <c r="J20" s="4">
        <f t="shared" si="3"/>
        <v>0</v>
      </c>
      <c r="K20" s="31">
        <f t="shared" si="1"/>
        <v>0</v>
      </c>
      <c r="M20" s="30"/>
    </row>
    <row r="21" spans="1:13" ht="12" x14ac:dyDescent="0.25">
      <c r="A21" s="1" t="s">
        <v>46</v>
      </c>
      <c r="B21" s="1" t="s">
        <v>87</v>
      </c>
      <c r="C21" s="4">
        <f>'Falazás és egyéb kőművesm (33)'!I15</f>
        <v>11696275.4</v>
      </c>
      <c r="D21" s="4">
        <f>'Falazás és egyéb kőművesm (33)'!J15</f>
        <v>12677357.6</v>
      </c>
      <c r="E21" s="25">
        <f t="shared" si="0"/>
        <v>24373633</v>
      </c>
      <c r="F21" s="40"/>
      <c r="G21" s="4">
        <f>'Falazás és egyéb kőművesm (33)'!I3+'Falazás és egyéb kőművesm (33)'!J3</f>
        <v>24373633</v>
      </c>
      <c r="H21" s="31">
        <f t="shared" si="2"/>
        <v>1</v>
      </c>
      <c r="I21" s="45"/>
      <c r="J21" s="4">
        <f t="shared" si="3"/>
        <v>0</v>
      </c>
      <c r="K21" s="31">
        <f t="shared" si="1"/>
        <v>0</v>
      </c>
      <c r="M21" s="30"/>
    </row>
    <row r="22" spans="1:13" ht="12" x14ac:dyDescent="0.25">
      <c r="A22" s="1" t="s">
        <v>160</v>
      </c>
      <c r="B22" s="1" t="s">
        <v>161</v>
      </c>
      <c r="C22" s="4">
        <f>'Szárazépítészet (34)'!I10</f>
        <v>99468</v>
      </c>
      <c r="D22" s="4">
        <f>'Szárazépítészet (34)'!J10</f>
        <v>92448</v>
      </c>
      <c r="E22" s="25">
        <f t="shared" si="0"/>
        <v>191916</v>
      </c>
      <c r="F22" s="40"/>
      <c r="G22" s="4">
        <f>'Szárazépítészet (34)'!I3+'Szárazépítészet (34)'!J3</f>
        <v>0</v>
      </c>
      <c r="H22" s="31">
        <f t="shared" si="2"/>
        <v>0</v>
      </c>
      <c r="I22" s="45"/>
      <c r="J22" s="4">
        <f t="shared" si="3"/>
        <v>191916</v>
      </c>
      <c r="K22" s="31">
        <f t="shared" si="1"/>
        <v>1</v>
      </c>
      <c r="M22" s="30"/>
    </row>
    <row r="23" spans="1:13" ht="12" x14ac:dyDescent="0.25">
      <c r="A23" s="1" t="s">
        <v>47</v>
      </c>
      <c r="B23" s="1" t="s">
        <v>186</v>
      </c>
      <c r="C23" s="4">
        <f>'Ácsmunka (35)'!I22</f>
        <v>4665583.8</v>
      </c>
      <c r="D23" s="4">
        <f>'Ácsmunka (35)'!J22</f>
        <v>5085801.5999999996</v>
      </c>
      <c r="E23" s="25">
        <f t="shared" si="0"/>
        <v>9751385.3999999985</v>
      </c>
      <c r="F23" s="40"/>
      <c r="G23" s="4">
        <f>'Ácsmunka (35)'!I3+'Ácsmunka (35)'!J3</f>
        <v>7908173.8000000007</v>
      </c>
      <c r="H23" s="31">
        <f t="shared" si="2"/>
        <v>0.81097951476720442</v>
      </c>
      <c r="I23" s="45"/>
      <c r="J23" s="4">
        <f t="shared" si="3"/>
        <v>1843211.5999999978</v>
      </c>
      <c r="K23" s="31">
        <f t="shared" si="1"/>
        <v>0.18902048523279558</v>
      </c>
      <c r="M23" s="30"/>
    </row>
    <row r="24" spans="1:13" ht="12" x14ac:dyDescent="0.25">
      <c r="A24" s="1" t="s">
        <v>48</v>
      </c>
      <c r="B24" s="1" t="s">
        <v>163</v>
      </c>
      <c r="C24" s="4">
        <f>'Belső vakolás (36)'!I12</f>
        <v>2797908</v>
      </c>
      <c r="D24" s="4">
        <f>'Belső vakolás (36)'!J12</f>
        <v>4709025</v>
      </c>
      <c r="E24" s="25">
        <f t="shared" si="0"/>
        <v>7506933</v>
      </c>
      <c r="F24" s="40"/>
      <c r="G24" s="4">
        <f>'Belső vakolás (36)'!I3+'Belső vakolás (36)'!J3</f>
        <v>7506933</v>
      </c>
      <c r="H24" s="31">
        <f t="shared" si="2"/>
        <v>1</v>
      </c>
      <c r="I24" s="45"/>
      <c r="J24" s="4">
        <f t="shared" si="3"/>
        <v>0</v>
      </c>
      <c r="K24" s="31">
        <f t="shared" si="1"/>
        <v>0</v>
      </c>
      <c r="M24" s="30"/>
    </row>
    <row r="25" spans="1:13" ht="12" x14ac:dyDescent="0.25">
      <c r="A25" s="1" t="s">
        <v>162</v>
      </c>
      <c r="B25" s="1" t="s">
        <v>164</v>
      </c>
      <c r="C25" s="4">
        <f>'Homlokzatképzés (37)'!I16</f>
        <v>4870916.0999999996</v>
      </c>
      <c r="D25" s="4">
        <f>'Homlokzatképzés (37)'!J16</f>
        <v>4955884.5</v>
      </c>
      <c r="E25" s="25">
        <f t="shared" si="0"/>
        <v>9826800.5999999996</v>
      </c>
      <c r="F25" s="40"/>
      <c r="G25" s="4">
        <f>'Homlokzatképzés (37)'!I3+'Homlokzatképzés (37)'!J3</f>
        <v>9634173.5999999996</v>
      </c>
      <c r="H25" s="31">
        <f t="shared" si="2"/>
        <v>0.98039779091477652</v>
      </c>
      <c r="I25" s="45"/>
      <c r="J25" s="4">
        <f t="shared" si="3"/>
        <v>192627</v>
      </c>
      <c r="K25" s="31">
        <f t="shared" si="1"/>
        <v>1.9602209085223476E-2</v>
      </c>
      <c r="M25" s="30"/>
    </row>
    <row r="26" spans="1:13" ht="12" x14ac:dyDescent="0.25">
      <c r="A26" s="1" t="s">
        <v>54</v>
      </c>
      <c r="B26" s="1" t="s">
        <v>36</v>
      </c>
      <c r="C26" s="4">
        <f>'Tetőfedés (41)'!I21</f>
        <v>3341285</v>
      </c>
      <c r="D26" s="4">
        <f>'Tetőfedés (41)'!J21</f>
        <v>1576620</v>
      </c>
      <c r="E26" s="25">
        <f t="shared" si="0"/>
        <v>4917905</v>
      </c>
      <c r="F26" s="40"/>
      <c r="G26" s="4">
        <f>'Tetőfedés (41)'!I3+'Tetőfedés (41)'!J3</f>
        <v>4917905</v>
      </c>
      <c r="H26" s="31">
        <f t="shared" si="2"/>
        <v>1</v>
      </c>
      <c r="I26" s="45"/>
      <c r="J26" s="4">
        <f t="shared" si="3"/>
        <v>0</v>
      </c>
      <c r="K26" s="31">
        <f t="shared" si="1"/>
        <v>0</v>
      </c>
      <c r="M26" s="30"/>
    </row>
    <row r="27" spans="1:13" ht="12" x14ac:dyDescent="0.25">
      <c r="A27" s="1" t="s">
        <v>52</v>
      </c>
      <c r="B27" s="1" t="s">
        <v>55</v>
      </c>
      <c r="C27" s="4">
        <f>'Hidegburkolás (42)'!I14</f>
        <v>7085746.0999999996</v>
      </c>
      <c r="D27" s="4">
        <f>'Hidegburkolás (42)'!J14</f>
        <v>7335600</v>
      </c>
      <c r="E27" s="25">
        <f t="shared" si="0"/>
        <v>14421346.1</v>
      </c>
      <c r="F27" s="40"/>
      <c r="G27" s="4">
        <f>'Hidegburkolás (42)'!I3+'Hidegburkolás (42)'!J3</f>
        <v>0</v>
      </c>
      <c r="H27" s="31">
        <f t="shared" si="2"/>
        <v>0</v>
      </c>
      <c r="I27" s="45"/>
      <c r="J27" s="4">
        <f t="shared" si="3"/>
        <v>14421346.1</v>
      </c>
      <c r="K27" s="31">
        <f t="shared" si="1"/>
        <v>1</v>
      </c>
      <c r="M27" s="30"/>
    </row>
    <row r="28" spans="1:13" ht="12" x14ac:dyDescent="0.25">
      <c r="A28" s="1" t="s">
        <v>53</v>
      </c>
      <c r="B28" s="1" t="s">
        <v>5</v>
      </c>
      <c r="C28" s="4">
        <f>'Bádogozás (43)'!I16</f>
        <v>1555998</v>
      </c>
      <c r="D28" s="4">
        <f>'Bádogozás (43)'!J16</f>
        <v>1144440</v>
      </c>
      <c r="E28" s="25">
        <f t="shared" si="0"/>
        <v>2700438</v>
      </c>
      <c r="F28" s="40"/>
      <c r="G28" s="4">
        <f>'Bádogozás (43)'!I3+'Bádogozás (43)'!J3</f>
        <v>2700438</v>
      </c>
      <c r="H28" s="31">
        <f t="shared" si="2"/>
        <v>1</v>
      </c>
      <c r="I28" s="45"/>
      <c r="J28" s="4">
        <f t="shared" si="3"/>
        <v>0</v>
      </c>
      <c r="K28" s="31">
        <f t="shared" si="1"/>
        <v>0</v>
      </c>
      <c r="M28" s="30"/>
    </row>
    <row r="29" spans="1:13" ht="12" x14ac:dyDescent="0.25">
      <c r="A29" s="1" t="s">
        <v>49</v>
      </c>
      <c r="B29" s="1" t="s">
        <v>12</v>
      </c>
      <c r="C29" s="4">
        <f>'Lakatosszerk elhelyezés (45)'!I9</f>
        <v>34250</v>
      </c>
      <c r="D29" s="4">
        <f>'Lakatosszerk elhelyezés (45)'!J9</f>
        <v>49000</v>
      </c>
      <c r="E29" s="25">
        <f t="shared" si="0"/>
        <v>83250</v>
      </c>
      <c r="F29" s="40"/>
      <c r="G29" s="4">
        <f>'Lakatosszerk elhelyezés (45)'!I3+'Lakatosszerk elhelyezés (45)'!J3</f>
        <v>0</v>
      </c>
      <c r="H29" s="31">
        <f t="shared" si="2"/>
        <v>0</v>
      </c>
      <c r="I29" s="45"/>
      <c r="J29" s="4">
        <f t="shared" si="3"/>
        <v>83250</v>
      </c>
      <c r="K29" s="31">
        <f t="shared" si="1"/>
        <v>1</v>
      </c>
      <c r="M29" s="30"/>
    </row>
    <row r="30" spans="1:13" ht="12" x14ac:dyDescent="0.25">
      <c r="A30" s="1" t="s">
        <v>50</v>
      </c>
      <c r="B30" s="1" t="s">
        <v>16</v>
      </c>
      <c r="C30" s="4">
        <f>'Felületképzés (47)'!I15</f>
        <v>2728661</v>
      </c>
      <c r="D30" s="4">
        <f>'Felületképzés (47)'!J15</f>
        <v>4806270</v>
      </c>
      <c r="E30" s="25">
        <f t="shared" si="0"/>
        <v>7534931</v>
      </c>
      <c r="F30" s="40"/>
      <c r="G30" s="4">
        <f>'Felületképzés (47)'!I3+'Felületképzés (47)'!J3</f>
        <v>170569</v>
      </c>
      <c r="H30" s="31">
        <f t="shared" si="2"/>
        <v>2.2637101786333543E-2</v>
      </c>
      <c r="I30" s="45"/>
      <c r="J30" s="4">
        <f t="shared" si="3"/>
        <v>7364362</v>
      </c>
      <c r="K30" s="31">
        <f t="shared" si="1"/>
        <v>0.97736289821366651</v>
      </c>
      <c r="M30" s="30"/>
    </row>
    <row r="31" spans="1:13" ht="12" x14ac:dyDescent="0.25">
      <c r="A31" s="1" t="s">
        <v>51</v>
      </c>
      <c r="B31" s="1" t="s">
        <v>168</v>
      </c>
      <c r="C31" s="4">
        <f>'Alépítményi szigetelés (48)'!I12</f>
        <v>487582.64999999997</v>
      </c>
      <c r="D31" s="4">
        <f>'Alépítményi szigetelés (48)'!J12</f>
        <v>641100.9</v>
      </c>
      <c r="E31" s="25">
        <f t="shared" si="0"/>
        <v>1128683.55</v>
      </c>
      <c r="F31" s="40"/>
      <c r="G31" s="4">
        <f>'Alépítményi szigetelés (48)'!I3+'Alépítményi szigetelés (48)'!J3</f>
        <v>1128683.55</v>
      </c>
      <c r="H31" s="31">
        <f t="shared" si="2"/>
        <v>1</v>
      </c>
      <c r="I31" s="45"/>
      <c r="J31" s="4">
        <f t="shared" si="3"/>
        <v>0</v>
      </c>
      <c r="K31" s="31">
        <f t="shared" si="1"/>
        <v>0</v>
      </c>
      <c r="M31" s="30"/>
    </row>
    <row r="32" spans="1:13" ht="12" x14ac:dyDescent="0.25">
      <c r="A32" s="1" t="s">
        <v>165</v>
      </c>
      <c r="B32" s="1" t="s">
        <v>169</v>
      </c>
      <c r="C32" s="4">
        <f>'Üzemi és haszn.víz szig. (50)'!I10</f>
        <v>838790</v>
      </c>
      <c r="D32" s="4">
        <f>'Üzemi és haszn.víz szig. (50)'!J10</f>
        <v>968350</v>
      </c>
      <c r="E32" s="25">
        <f t="shared" si="0"/>
        <v>1807140</v>
      </c>
      <c r="F32" s="40"/>
      <c r="G32" s="4">
        <f>'Üzemi és haszn.víz szig. (50)'!I3+'Üzemi és haszn.víz szig. (50)'!J3</f>
        <v>0</v>
      </c>
      <c r="H32" s="31">
        <f t="shared" si="2"/>
        <v>0</v>
      </c>
      <c r="I32" s="45"/>
      <c r="J32" s="4">
        <f t="shared" si="3"/>
        <v>1807140</v>
      </c>
      <c r="K32" s="31">
        <f t="shared" si="1"/>
        <v>1</v>
      </c>
      <c r="M32" s="30"/>
    </row>
    <row r="33" spans="1:13" ht="12" x14ac:dyDescent="0.25">
      <c r="A33" s="1" t="s">
        <v>166</v>
      </c>
      <c r="B33" s="1" t="s">
        <v>170</v>
      </c>
      <c r="C33" s="4">
        <f>'Szerkezeti hőszigetelés (51)'!I9</f>
        <v>174006</v>
      </c>
      <c r="D33" s="4">
        <f>'Szerkezeti hőszigetelés (51)'!J9</f>
        <v>154672</v>
      </c>
      <c r="E33" s="25">
        <f t="shared" si="0"/>
        <v>328678</v>
      </c>
      <c r="F33" s="40"/>
      <c r="G33" s="4">
        <f>'Szerkezeti hőszigetelés (51)'!I3+'Szerkezeti hőszigetelés (51)'!J3</f>
        <v>328678</v>
      </c>
      <c r="H33" s="31">
        <f t="shared" si="2"/>
        <v>1</v>
      </c>
      <c r="I33" s="45"/>
      <c r="J33" s="4">
        <f t="shared" si="3"/>
        <v>0</v>
      </c>
      <c r="K33" s="31">
        <f t="shared" si="1"/>
        <v>0</v>
      </c>
      <c r="M33" s="30"/>
    </row>
    <row r="34" spans="1:13" ht="12" x14ac:dyDescent="0.25">
      <c r="A34" s="1" t="s">
        <v>167</v>
      </c>
      <c r="B34" s="1" t="s">
        <v>176</v>
      </c>
      <c r="C34" s="4">
        <f>'Egyéb szigetelés (52)'!I14</f>
        <v>2310388.9</v>
      </c>
      <c r="D34" s="4">
        <f>'Egyéb szigetelés (52)'!J14</f>
        <v>1270053.5</v>
      </c>
      <c r="E34" s="25">
        <f t="shared" si="0"/>
        <v>3580442.4</v>
      </c>
      <c r="F34" s="40"/>
      <c r="G34" s="4">
        <f>'Egyéb szigetelés (52)'!I3+'Egyéb szigetelés (52)'!J3</f>
        <v>3580442.4</v>
      </c>
      <c r="H34" s="31">
        <f t="shared" si="2"/>
        <v>1</v>
      </c>
      <c r="I34" s="45"/>
      <c r="J34" s="4">
        <f t="shared" si="3"/>
        <v>0</v>
      </c>
      <c r="K34" s="31">
        <f t="shared" si="1"/>
        <v>0</v>
      </c>
      <c r="M34" s="30"/>
    </row>
    <row r="35" spans="1:13" ht="12" x14ac:dyDescent="0.25">
      <c r="A35" s="1" t="s">
        <v>171</v>
      </c>
      <c r="B35" s="1" t="s">
        <v>197</v>
      </c>
      <c r="C35" s="4">
        <f>'Belső nyílászárók (66)'!I12</f>
        <v>2590000</v>
      </c>
      <c r="D35" s="4">
        <f>'Belső nyílászárók (66)'!J12</f>
        <v>642000</v>
      </c>
      <c r="E35" s="25">
        <f t="shared" si="0"/>
        <v>3232000</v>
      </c>
      <c r="F35" s="40"/>
      <c r="G35" s="4">
        <f>'Belső nyílászárók (66)'!I3+'Belső nyílászárók (66)'!J3</f>
        <v>0</v>
      </c>
      <c r="H35" s="31">
        <f t="shared" si="2"/>
        <v>0</v>
      </c>
      <c r="I35" s="45"/>
      <c r="J35" s="4">
        <f t="shared" si="3"/>
        <v>3232000</v>
      </c>
      <c r="K35" s="31">
        <f t="shared" si="1"/>
        <v>1</v>
      </c>
      <c r="M35" s="30"/>
    </row>
    <row r="36" spans="1:13" ht="12" x14ac:dyDescent="0.25">
      <c r="A36" s="1" t="s">
        <v>172</v>
      </c>
      <c r="B36" s="1" t="s">
        <v>198</v>
      </c>
      <c r="C36" s="4">
        <f>'Homlokzati nyílászárók (67)'!I15</f>
        <v>3505300</v>
      </c>
      <c r="D36" s="4">
        <f>'Homlokzati nyílászárók (67)'!J15</f>
        <v>502700</v>
      </c>
      <c r="E36" s="25">
        <f t="shared" si="0"/>
        <v>4008000</v>
      </c>
      <c r="F36" s="40"/>
      <c r="G36" s="4">
        <f>'Homlokzati nyílászárók (67)'!I3+'Homlokzati nyílászárók (67)'!J3</f>
        <v>4008000</v>
      </c>
      <c r="H36" s="31">
        <f t="shared" si="2"/>
        <v>1</v>
      </c>
      <c r="I36" s="45"/>
      <c r="J36" s="4">
        <f t="shared" si="3"/>
        <v>0</v>
      </c>
      <c r="K36" s="31">
        <f t="shared" si="1"/>
        <v>0</v>
      </c>
      <c r="M36" s="30"/>
    </row>
    <row r="37" spans="1:13" ht="12" x14ac:dyDescent="0.25">
      <c r="A37" s="1" t="s">
        <v>173</v>
      </c>
      <c r="B37" s="1" t="s">
        <v>199</v>
      </c>
      <c r="C37" s="4">
        <f>'Bejárati ajtók (68)'!I9</f>
        <v>770000</v>
      </c>
      <c r="D37" s="4">
        <f>'Bejárati ajtók (68)'!J9</f>
        <v>98000</v>
      </c>
      <c r="E37" s="25">
        <f t="shared" si="0"/>
        <v>868000</v>
      </c>
      <c r="F37" s="40"/>
      <c r="G37" s="4">
        <f>'Bejárati ajtók (68)'!I3+'Bejárati ajtók (68)'!J3</f>
        <v>868000</v>
      </c>
      <c r="H37" s="31">
        <f t="shared" si="2"/>
        <v>1</v>
      </c>
      <c r="I37" s="45"/>
      <c r="J37" s="4">
        <f t="shared" si="3"/>
        <v>0</v>
      </c>
      <c r="K37" s="31">
        <f t="shared" si="1"/>
        <v>0</v>
      </c>
      <c r="M37" s="30"/>
    </row>
    <row r="38" spans="1:13" ht="13.2" customHeight="1" x14ac:dyDescent="0.25">
      <c r="A38" s="48" t="s">
        <v>397</v>
      </c>
      <c r="B38" s="48"/>
      <c r="C38" s="48"/>
      <c r="D38" s="48"/>
      <c r="E38" s="48"/>
      <c r="F38" s="40"/>
      <c r="I38" s="45"/>
      <c r="M38" s="30"/>
    </row>
    <row r="39" spans="1:13" ht="22.8" x14ac:dyDescent="0.25">
      <c r="B39" s="1" t="s">
        <v>452</v>
      </c>
      <c r="C39" s="4">
        <v>2800000</v>
      </c>
      <c r="D39" s="4">
        <v>1800000</v>
      </c>
      <c r="E39" s="25">
        <f t="shared" si="0"/>
        <v>4600000</v>
      </c>
      <c r="F39" s="40"/>
      <c r="G39" s="4">
        <f t="shared" ref="G39:G41" si="4">E39*H39</f>
        <v>2070000</v>
      </c>
      <c r="H39" s="31">
        <v>0.45</v>
      </c>
      <c r="I39" s="45"/>
      <c r="J39" s="4">
        <f t="shared" si="3"/>
        <v>2530000</v>
      </c>
      <c r="K39" s="31">
        <f t="shared" si="1"/>
        <v>0.55000000000000004</v>
      </c>
      <c r="M39" s="30"/>
    </row>
    <row r="40" spans="1:13" ht="12" x14ac:dyDescent="0.25">
      <c r="B40" s="1" t="s">
        <v>455</v>
      </c>
      <c r="C40" s="4">
        <v>4650000</v>
      </c>
      <c r="D40" s="4">
        <v>2750000</v>
      </c>
      <c r="E40" s="25">
        <f t="shared" si="0"/>
        <v>7400000</v>
      </c>
      <c r="F40" s="40"/>
      <c r="G40" s="4">
        <f t="shared" si="4"/>
        <v>5180000</v>
      </c>
      <c r="H40" s="31">
        <v>0.7</v>
      </c>
      <c r="I40" s="45"/>
      <c r="J40" s="4">
        <f t="shared" si="3"/>
        <v>2220000</v>
      </c>
      <c r="K40" s="31">
        <f t="shared" si="1"/>
        <v>0.30000000000000004</v>
      </c>
      <c r="M40" s="30"/>
    </row>
    <row r="41" spans="1:13" ht="12" x14ac:dyDescent="0.25">
      <c r="B41" s="1" t="s">
        <v>456</v>
      </c>
      <c r="C41" s="4">
        <v>600000</v>
      </c>
      <c r="D41" s="4">
        <v>400000</v>
      </c>
      <c r="E41" s="25">
        <f t="shared" si="0"/>
        <v>1000000</v>
      </c>
      <c r="F41" s="40"/>
      <c r="G41" s="4">
        <f t="shared" si="4"/>
        <v>0</v>
      </c>
      <c r="H41" s="31">
        <v>0</v>
      </c>
      <c r="I41" s="45"/>
      <c r="J41" s="4">
        <f t="shared" si="3"/>
        <v>1000000</v>
      </c>
      <c r="K41" s="31">
        <f t="shared" si="1"/>
        <v>1</v>
      </c>
      <c r="M41" s="30"/>
    </row>
    <row r="42" spans="1:13" ht="13.2" customHeight="1" x14ac:dyDescent="0.25">
      <c r="A42" s="48" t="s">
        <v>396</v>
      </c>
      <c r="B42" s="48"/>
      <c r="C42" s="48"/>
      <c r="D42" s="48"/>
      <c r="E42" s="48"/>
      <c r="F42" s="40"/>
      <c r="I42" s="45"/>
      <c r="M42" s="30"/>
    </row>
    <row r="43" spans="1:13" ht="12" x14ac:dyDescent="0.25">
      <c r="B43" s="1" t="s">
        <v>454</v>
      </c>
      <c r="C43" s="4">
        <v>2750000</v>
      </c>
      <c r="D43" s="4">
        <v>1380000</v>
      </c>
      <c r="E43" s="25">
        <f t="shared" si="0"/>
        <v>4130000</v>
      </c>
      <c r="F43" s="40"/>
      <c r="G43" s="4">
        <f>E43*H43</f>
        <v>1858500</v>
      </c>
      <c r="H43" s="31">
        <v>0.45</v>
      </c>
      <c r="I43" s="45"/>
      <c r="J43" s="4">
        <f t="shared" si="3"/>
        <v>2271500</v>
      </c>
      <c r="K43" s="31">
        <f t="shared" si="1"/>
        <v>0.55000000000000004</v>
      </c>
      <c r="M43" s="30"/>
    </row>
    <row r="44" spans="1:13" ht="12" x14ac:dyDescent="0.25">
      <c r="B44" s="1" t="s">
        <v>453</v>
      </c>
      <c r="C44" s="4">
        <v>1800000</v>
      </c>
      <c r="D44" s="4">
        <v>750000</v>
      </c>
      <c r="E44" s="25">
        <f t="shared" si="0"/>
        <v>2550000</v>
      </c>
      <c r="F44" s="40"/>
      <c r="G44" s="4">
        <f>E44*H44</f>
        <v>0</v>
      </c>
      <c r="H44" s="31">
        <v>0</v>
      </c>
      <c r="I44" s="45"/>
      <c r="J44" s="4">
        <f t="shared" si="3"/>
        <v>2550000</v>
      </c>
      <c r="K44" s="31">
        <f t="shared" si="1"/>
        <v>1</v>
      </c>
      <c r="M44" s="30"/>
    </row>
    <row r="45" spans="1:13" ht="12" thickBot="1" x14ac:dyDescent="0.3">
      <c r="A45" s="5"/>
      <c r="B45" s="5"/>
      <c r="C45" s="6"/>
      <c r="D45" s="6"/>
      <c r="E45" s="6"/>
      <c r="F45" s="41"/>
      <c r="G45" s="6"/>
      <c r="H45" s="34"/>
      <c r="I45" s="46"/>
      <c r="J45" s="6"/>
      <c r="K45" s="34"/>
    </row>
    <row r="46" spans="1:13" s="2" customFormat="1" ht="12.6" thickTop="1" x14ac:dyDescent="0.25">
      <c r="A46" s="1"/>
      <c r="B46" s="2" t="s">
        <v>3</v>
      </c>
      <c r="C46" s="3">
        <f>SUM(C11:C45)</f>
        <v>91171331.530000001</v>
      </c>
      <c r="D46" s="3">
        <f>SUM(D11:D45)</f>
        <v>79663527.900000006</v>
      </c>
      <c r="E46" s="3">
        <f>SUM(E11:E45)</f>
        <v>170834859.43000001</v>
      </c>
      <c r="F46" s="42"/>
      <c r="G46" s="3">
        <f>SUM(G11:G45)</f>
        <v>125517981.69</v>
      </c>
      <c r="H46" s="31">
        <f t="shared" si="2"/>
        <v>0.73473284146337414</v>
      </c>
      <c r="I46" s="44"/>
      <c r="J46" s="3">
        <f>SUM(J11:J45)</f>
        <v>45316877.739999995</v>
      </c>
      <c r="K46" s="31">
        <f t="shared" si="1"/>
        <v>0.26526715853662586</v>
      </c>
      <c r="L46" s="3"/>
      <c r="M46" s="3"/>
    </row>
  </sheetData>
  <mergeCells count="7">
    <mergeCell ref="B10:E10"/>
    <mergeCell ref="A38:E38"/>
    <mergeCell ref="A42:E42"/>
    <mergeCell ref="A1:K1"/>
    <mergeCell ref="A2:K2"/>
    <mergeCell ref="A4:K4"/>
    <mergeCell ref="A6:K6"/>
  </mergeCells>
  <phoneticPr fontId="0" type="noConversion"/>
  <pageMargins left="0.98425196850393704" right="0.98425196850393704" top="0.98425196850393704" bottom="0.98425196850393704" header="0.43307086614173229" footer="0.43307086614173229"/>
  <pageSetup paperSize="9" scale="77" orientation="landscape" r:id="rId1"/>
  <headerFooter alignWithMargins="0">
    <oddHeader>&amp;CKerepes sportközpont kiszolgáló épület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6"/>
  <sheetViews>
    <sheetView view="pageBreakPreview" topLeftCell="A13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+SUMIF($B6:$B15,$F3,$I6:$I15)</f>
        <v>13191814</v>
      </c>
      <c r="J3" s="37">
        <f>+SUMIF($B6:$B15,$F3,$J6:$J15)</f>
        <v>5232104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+SUMIF($B7:$B16,$F4,$I7:$I16)</f>
        <v>380725</v>
      </c>
      <c r="J4" s="37">
        <f>+SUMIF($B7:$B16,$F4,$J7:$J16)</f>
        <v>338530</v>
      </c>
    </row>
    <row r="6" spans="1:11" ht="12" x14ac:dyDescent="0.25">
      <c r="D6" s="2" t="s">
        <v>304</v>
      </c>
    </row>
    <row r="7" spans="1:11" ht="45.6" x14ac:dyDescent="0.25">
      <c r="A7" s="10">
        <v>1</v>
      </c>
      <c r="B7" s="10" t="s">
        <v>236</v>
      </c>
      <c r="C7" s="1" t="s">
        <v>38</v>
      </c>
      <c r="D7" s="1" t="s">
        <v>285</v>
      </c>
      <c r="E7" s="16">
        <f>(E8+E9+E10+E11)*0.18</f>
        <v>16.124400000000001</v>
      </c>
      <c r="F7" s="1" t="s">
        <v>111</v>
      </c>
      <c r="G7" s="4">
        <v>485000</v>
      </c>
      <c r="H7" s="4">
        <v>210000</v>
      </c>
      <c r="I7" s="4">
        <f>E7*G7</f>
        <v>7820334.0000000009</v>
      </c>
      <c r="J7" s="4">
        <f>E7*H7</f>
        <v>3386124.0000000005</v>
      </c>
      <c r="K7" s="21" t="s">
        <v>302</v>
      </c>
    </row>
    <row r="8" spans="1:11" ht="34.200000000000003" x14ac:dyDescent="0.25">
      <c r="A8" s="10">
        <f>A7+1</f>
        <v>2</v>
      </c>
      <c r="B8" s="10" t="s">
        <v>236</v>
      </c>
      <c r="C8" s="1" t="s">
        <v>158</v>
      </c>
      <c r="D8" s="1" t="s">
        <v>212</v>
      </c>
      <c r="E8" s="16">
        <f>(14*0.3*0.25*2.9+2*0.3*0.3*2.9)*2</f>
        <v>7.1340000000000003</v>
      </c>
      <c r="F8" s="1" t="s">
        <v>79</v>
      </c>
      <c r="G8" s="4">
        <v>56000</v>
      </c>
      <c r="H8" s="4">
        <v>15500</v>
      </c>
      <c r="I8" s="4">
        <f t="shared" ref="I8:I9" si="0">E8*G8</f>
        <v>399504</v>
      </c>
      <c r="J8" s="4">
        <f t="shared" ref="J8:J9" si="1">E8*H8</f>
        <v>110577</v>
      </c>
      <c r="K8" s="22"/>
    </row>
    <row r="9" spans="1:11" ht="34.200000000000003" x14ac:dyDescent="0.25">
      <c r="A9" s="10">
        <f t="shared" ref="A9:A14" si="2">A8+1</f>
        <v>3</v>
      </c>
      <c r="B9" s="10" t="s">
        <v>236</v>
      </c>
      <c r="C9" s="1" t="s">
        <v>159</v>
      </c>
      <c r="D9" s="1" t="s">
        <v>213</v>
      </c>
      <c r="E9" s="16">
        <f>5.4*2*0.3*0.25*2+4*0.3*0.3</f>
        <v>1.98</v>
      </c>
      <c r="F9" s="1" t="s">
        <v>134</v>
      </c>
      <c r="G9" s="4">
        <v>56000</v>
      </c>
      <c r="H9" s="4">
        <v>15500</v>
      </c>
      <c r="I9" s="4">
        <f t="shared" si="0"/>
        <v>110880</v>
      </c>
      <c r="J9" s="4">
        <f t="shared" si="1"/>
        <v>30690</v>
      </c>
    </row>
    <row r="10" spans="1:11" ht="68.400000000000006" x14ac:dyDescent="0.25">
      <c r="A10" s="10">
        <f t="shared" si="2"/>
        <v>4</v>
      </c>
      <c r="B10" s="10" t="s">
        <v>236</v>
      </c>
      <c r="C10" s="1" t="s">
        <v>89</v>
      </c>
      <c r="D10" s="1" t="s">
        <v>214</v>
      </c>
      <c r="E10" s="16">
        <f>(66.7+173.13+179-3*3.6*1*3)*0.2</f>
        <v>77.286000000000001</v>
      </c>
      <c r="F10" s="1" t="s">
        <v>79</v>
      </c>
      <c r="G10" s="4">
        <v>56000</v>
      </c>
      <c r="H10" s="4">
        <v>15500</v>
      </c>
      <c r="I10" s="4">
        <f t="shared" ref="I10" si="3">E10*G10</f>
        <v>4328016</v>
      </c>
      <c r="J10" s="4">
        <f t="shared" ref="J10" si="4">E10*H10</f>
        <v>1197933</v>
      </c>
      <c r="K10" s="23" t="s">
        <v>303</v>
      </c>
    </row>
    <row r="11" spans="1:11" ht="34.200000000000003" x14ac:dyDescent="0.25">
      <c r="A11" s="10">
        <f t="shared" si="2"/>
        <v>5</v>
      </c>
      <c r="B11" s="10" t="s">
        <v>236</v>
      </c>
      <c r="C11" s="1" t="s">
        <v>215</v>
      </c>
      <c r="D11" s="1" t="s">
        <v>216</v>
      </c>
      <c r="E11" s="16">
        <f>15.9*0.2</f>
        <v>3.18</v>
      </c>
      <c r="F11" s="1" t="s">
        <v>79</v>
      </c>
      <c r="G11" s="4">
        <v>56000</v>
      </c>
      <c r="H11" s="4">
        <v>21000</v>
      </c>
      <c r="I11" s="4">
        <f t="shared" ref="I11" si="5">E11*G11</f>
        <v>178080</v>
      </c>
      <c r="J11" s="4">
        <f t="shared" ref="J11" si="6">E11*H11</f>
        <v>66780</v>
      </c>
    </row>
    <row r="12" spans="1:11" ht="45.6" x14ac:dyDescent="0.25">
      <c r="A12" s="10">
        <f t="shared" si="2"/>
        <v>6</v>
      </c>
      <c r="B12" s="10" t="s">
        <v>395</v>
      </c>
      <c r="D12" s="1" t="s">
        <v>386</v>
      </c>
      <c r="E12" s="16">
        <v>48.5</v>
      </c>
      <c r="F12" s="1" t="s">
        <v>135</v>
      </c>
      <c r="G12" s="4">
        <v>7850</v>
      </c>
      <c r="H12" s="4">
        <v>6980</v>
      </c>
      <c r="I12" s="4">
        <f t="shared" ref="I12:I13" si="7">E12*G12</f>
        <v>380725</v>
      </c>
      <c r="J12" s="4">
        <f t="shared" ref="J12:J13" si="8">E12*H12</f>
        <v>338530</v>
      </c>
    </row>
    <row r="13" spans="1:11" ht="45.6" x14ac:dyDescent="0.25">
      <c r="A13" s="10">
        <f t="shared" si="2"/>
        <v>7</v>
      </c>
      <c r="B13" s="10" t="s">
        <v>236</v>
      </c>
      <c r="D13" s="1" t="s">
        <v>458</v>
      </c>
      <c r="E13" s="16">
        <v>1</v>
      </c>
      <c r="F13" s="1" t="s">
        <v>459</v>
      </c>
      <c r="G13" s="4">
        <v>235000</v>
      </c>
      <c r="H13" s="4">
        <v>280000</v>
      </c>
      <c r="I13" s="4">
        <f t="shared" si="7"/>
        <v>235000</v>
      </c>
      <c r="J13" s="4">
        <f t="shared" si="8"/>
        <v>280000</v>
      </c>
    </row>
    <row r="14" spans="1:11" ht="34.200000000000003" x14ac:dyDescent="0.25">
      <c r="A14" s="10">
        <f t="shared" si="2"/>
        <v>8</v>
      </c>
      <c r="B14" s="10" t="s">
        <v>236</v>
      </c>
      <c r="D14" s="1" t="s">
        <v>460</v>
      </c>
      <c r="E14" s="16">
        <v>1</v>
      </c>
      <c r="F14" s="1" t="s">
        <v>459</v>
      </c>
      <c r="G14" s="4">
        <v>120000</v>
      </c>
      <c r="H14" s="4">
        <v>160000</v>
      </c>
      <c r="I14" s="4">
        <f t="shared" ref="I14" si="9">E14*G14</f>
        <v>120000</v>
      </c>
      <c r="J14" s="4">
        <f t="shared" ref="J14" si="10">E14*H14</f>
        <v>160000</v>
      </c>
    </row>
    <row r="15" spans="1:11" ht="12" thickBot="1" x14ac:dyDescent="0.3">
      <c r="A15" s="11"/>
      <c r="B15" s="11"/>
      <c r="C15" s="5"/>
      <c r="D15" s="5"/>
      <c r="E15" s="17"/>
      <c r="F15" s="5"/>
      <c r="G15" s="6"/>
      <c r="H15" s="6"/>
      <c r="I15" s="6"/>
      <c r="J15" s="6"/>
    </row>
    <row r="16" spans="1:11" s="2" customFormat="1" ht="24.6" thickTop="1" x14ac:dyDescent="0.25">
      <c r="A16" s="13"/>
      <c r="B16" s="13"/>
      <c r="D16" s="2" t="s">
        <v>305</v>
      </c>
      <c r="E16" s="18"/>
      <c r="G16" s="3"/>
      <c r="H16" s="3"/>
      <c r="I16" s="3">
        <f>SUM(I7:I15)</f>
        <v>13572539</v>
      </c>
      <c r="J16" s="3">
        <f>SUM(J7:J15)</f>
        <v>5570634</v>
      </c>
      <c r="K16" s="20"/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0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+SUMIF($B6:$B9,$F3,$I6:$I9)</f>
        <v>148180</v>
      </c>
      <c r="J3" s="37">
        <f>+SUMIF($B6:$B9,$F3,$J6:$J9)</f>
        <v>140000</v>
      </c>
    </row>
    <row r="4" spans="1:11" ht="12" x14ac:dyDescent="0.25">
      <c r="F4" s="1" t="s">
        <v>395</v>
      </c>
      <c r="G4" s="35" t="s">
        <v>450</v>
      </c>
      <c r="H4" s="36"/>
      <c r="I4" s="37">
        <f>+SUMIF($B6:$B10,$F4,$I6:$I10)</f>
        <v>0</v>
      </c>
      <c r="J4" s="37">
        <f>+SUMIF($B6:$B10,$F4,$J6:$J10)</f>
        <v>0</v>
      </c>
    </row>
    <row r="6" spans="1:11" ht="12" x14ac:dyDescent="0.25">
      <c r="D6" s="2" t="s">
        <v>306</v>
      </c>
    </row>
    <row r="7" spans="1:11" ht="57" x14ac:dyDescent="0.25">
      <c r="A7" s="10">
        <f>A6+1</f>
        <v>1</v>
      </c>
      <c r="B7" s="10" t="s">
        <v>236</v>
      </c>
      <c r="C7" s="1" t="s">
        <v>64</v>
      </c>
      <c r="D7" s="1" t="s">
        <v>175</v>
      </c>
      <c r="E7" s="16">
        <v>50</v>
      </c>
      <c r="F7" s="1" t="s">
        <v>152</v>
      </c>
      <c r="G7" s="4">
        <v>2450</v>
      </c>
      <c r="H7" s="4">
        <v>2500</v>
      </c>
      <c r="I7" s="4">
        <f t="shared" ref="I7" si="0">E7*G7</f>
        <v>122500</v>
      </c>
      <c r="J7" s="4">
        <f t="shared" ref="J7" si="1">E7*H7</f>
        <v>125000</v>
      </c>
    </row>
    <row r="8" spans="1:11" ht="57" x14ac:dyDescent="0.25">
      <c r="A8" s="10">
        <f>A7+1</f>
        <v>2</v>
      </c>
      <c r="B8" s="10" t="s">
        <v>236</v>
      </c>
      <c r="C8" s="1" t="s">
        <v>307</v>
      </c>
      <c r="D8" s="1" t="s">
        <v>308</v>
      </c>
      <c r="E8" s="16">
        <v>6</v>
      </c>
      <c r="F8" s="1" t="s">
        <v>152</v>
      </c>
      <c r="G8" s="4">
        <v>4280</v>
      </c>
      <c r="H8" s="4">
        <v>2500</v>
      </c>
      <c r="I8" s="4">
        <f t="shared" ref="I8" si="2">E8*G8</f>
        <v>25680</v>
      </c>
      <c r="J8" s="4">
        <f t="shared" ref="J8" si="3">E8*H8</f>
        <v>15000</v>
      </c>
    </row>
    <row r="9" spans="1:11" ht="12" thickBot="1" x14ac:dyDescent="0.3">
      <c r="A9" s="11"/>
      <c r="B9" s="11"/>
      <c r="C9" s="5"/>
      <c r="D9" s="5"/>
      <c r="E9" s="17"/>
      <c r="F9" s="5"/>
      <c r="G9" s="6"/>
      <c r="H9" s="6"/>
      <c r="I9" s="6"/>
      <c r="J9" s="6"/>
    </row>
    <row r="10" spans="1:11" ht="12.6" thickTop="1" x14ac:dyDescent="0.25">
      <c r="D10" s="2" t="s">
        <v>316</v>
      </c>
      <c r="E10" s="18"/>
      <c r="F10" s="2"/>
      <c r="G10" s="3"/>
      <c r="H10" s="3"/>
      <c r="I10" s="3">
        <f>SUM(I6:I9)</f>
        <v>148180</v>
      </c>
      <c r="J10" s="3">
        <f>SUM(J6:J9)</f>
        <v>140000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5"/>
  <sheetViews>
    <sheetView view="pageBreakPreview" topLeftCell="A13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+SUMIF($B6:$B14,$F3,$I6:$I14)</f>
        <v>11696275.4</v>
      </c>
      <c r="J3" s="37">
        <f>+SUMIF($B6:$B14,$F3,$J6:$J14)</f>
        <v>12677357.6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+SUMIF($B7:$B15,$F4,$I7:$I15)</f>
        <v>0</v>
      </c>
      <c r="J4" s="37">
        <f>+SUMIF($B7:$B15,$F4,$J7:$J15)</f>
        <v>0</v>
      </c>
    </row>
    <row r="6" spans="1:11" ht="12" x14ac:dyDescent="0.25">
      <c r="D6" s="2" t="s">
        <v>318</v>
      </c>
    </row>
    <row r="7" spans="1:11" ht="57" x14ac:dyDescent="0.25">
      <c r="A7" s="10">
        <v>1</v>
      </c>
      <c r="B7" s="10" t="s">
        <v>236</v>
      </c>
      <c r="C7" s="1" t="s">
        <v>58</v>
      </c>
      <c r="D7" s="1" t="s">
        <v>309</v>
      </c>
      <c r="E7" s="16">
        <f>68.8*0.2*0.065</f>
        <v>0.89439999999999997</v>
      </c>
      <c r="F7" s="1" t="s">
        <v>79</v>
      </c>
      <c r="G7" s="4">
        <v>128500</v>
      </c>
      <c r="H7" s="4">
        <v>94000</v>
      </c>
      <c r="I7" s="4">
        <f t="shared" ref="I7:I10" si="0">E7*G7</f>
        <v>114930.4</v>
      </c>
      <c r="J7" s="4">
        <f t="shared" ref="J7:J10" si="1">E7*H7</f>
        <v>84073.599999999991</v>
      </c>
      <c r="K7" s="21" t="s">
        <v>315</v>
      </c>
    </row>
    <row r="8" spans="1:11" ht="57" x14ac:dyDescent="0.25">
      <c r="A8" s="10">
        <f>A7+1</f>
        <v>2</v>
      </c>
      <c r="B8" s="10" t="s">
        <v>236</v>
      </c>
      <c r="C8" s="1" t="s">
        <v>311</v>
      </c>
      <c r="D8" s="1" t="s">
        <v>312</v>
      </c>
      <c r="E8" s="16">
        <v>140.13</v>
      </c>
      <c r="F8" s="1" t="s">
        <v>135</v>
      </c>
      <c r="G8" s="4">
        <v>18950</v>
      </c>
      <c r="H8" s="4">
        <v>23400</v>
      </c>
      <c r="I8" s="4">
        <f t="shared" ref="I8" si="2">E8*G8</f>
        <v>2655463.5</v>
      </c>
      <c r="J8" s="4">
        <f t="shared" ref="J8" si="3">E8*H8</f>
        <v>3279042</v>
      </c>
      <c r="K8" s="21" t="s">
        <v>314</v>
      </c>
    </row>
    <row r="9" spans="1:11" ht="68.400000000000006" x14ac:dyDescent="0.25">
      <c r="A9" s="10">
        <f t="shared" ref="A9:A13" si="4">A8+1</f>
        <v>3</v>
      </c>
      <c r="B9" s="10" t="s">
        <v>236</v>
      </c>
      <c r="C9" s="1" t="s">
        <v>59</v>
      </c>
      <c r="D9" s="1" t="s">
        <v>217</v>
      </c>
      <c r="E9" s="16">
        <f>397.93-75.8</f>
        <v>322.13</v>
      </c>
      <c r="F9" s="1" t="s">
        <v>151</v>
      </c>
      <c r="G9" s="4">
        <v>20550</v>
      </c>
      <c r="H9" s="4">
        <v>23400</v>
      </c>
      <c r="I9" s="4">
        <f t="shared" si="0"/>
        <v>6619771.5</v>
      </c>
      <c r="J9" s="4">
        <f t="shared" si="1"/>
        <v>7537842</v>
      </c>
      <c r="K9" s="21" t="s">
        <v>313</v>
      </c>
    </row>
    <row r="10" spans="1:11" ht="34.200000000000003" x14ac:dyDescent="0.25">
      <c r="A10" s="10">
        <f t="shared" si="4"/>
        <v>4</v>
      </c>
      <c r="B10" s="10" t="s">
        <v>236</v>
      </c>
      <c r="C10" s="1" t="s">
        <v>290</v>
      </c>
      <c r="D10" s="1" t="s">
        <v>291</v>
      </c>
      <c r="E10" s="16">
        <v>16.8</v>
      </c>
      <c r="F10" s="1" t="s">
        <v>135</v>
      </c>
      <c r="G10" s="4">
        <v>8950</v>
      </c>
      <c r="H10" s="4">
        <v>6500</v>
      </c>
      <c r="I10" s="4">
        <f t="shared" si="0"/>
        <v>150360</v>
      </c>
      <c r="J10" s="4">
        <f t="shared" si="1"/>
        <v>109200</v>
      </c>
      <c r="K10" s="21" t="s">
        <v>292</v>
      </c>
    </row>
    <row r="11" spans="1:11" ht="68.400000000000006" x14ac:dyDescent="0.25">
      <c r="A11" s="10">
        <f t="shared" si="4"/>
        <v>5</v>
      </c>
      <c r="B11" s="10" t="s">
        <v>236</v>
      </c>
      <c r="C11" s="1" t="s">
        <v>72</v>
      </c>
      <c r="D11" s="1" t="s">
        <v>317</v>
      </c>
      <c r="E11" s="16">
        <v>3</v>
      </c>
      <c r="F11" s="1" t="s">
        <v>135</v>
      </c>
      <c r="G11" s="4">
        <v>9450</v>
      </c>
      <c r="H11" s="4">
        <v>18000</v>
      </c>
      <c r="I11" s="4">
        <f>E11*G11</f>
        <v>28350</v>
      </c>
      <c r="J11" s="4">
        <f>E11*H11</f>
        <v>54000</v>
      </c>
      <c r="K11" s="21" t="s">
        <v>310</v>
      </c>
    </row>
    <row r="12" spans="1:11" ht="57" x14ac:dyDescent="0.25">
      <c r="A12" s="10">
        <f t="shared" si="4"/>
        <v>6</v>
      </c>
      <c r="B12" s="10" t="s">
        <v>236</v>
      </c>
      <c r="C12" s="1" t="s">
        <v>96</v>
      </c>
      <c r="D12" s="1" t="s">
        <v>136</v>
      </c>
      <c r="E12" s="16">
        <v>248</v>
      </c>
      <c r="F12" s="1" t="s">
        <v>151</v>
      </c>
      <c r="G12" s="4">
        <v>8500</v>
      </c>
      <c r="H12" s="4">
        <v>6400</v>
      </c>
      <c r="I12" s="4">
        <f t="shared" ref="I12" si="5">E12*G12</f>
        <v>2108000</v>
      </c>
      <c r="J12" s="4">
        <f t="shared" ref="J12" si="6">E12*H12</f>
        <v>1587200</v>
      </c>
    </row>
    <row r="13" spans="1:11" ht="45.6" x14ac:dyDescent="0.25">
      <c r="A13" s="10">
        <f t="shared" si="4"/>
        <v>7</v>
      </c>
      <c r="B13" s="10" t="s">
        <v>236</v>
      </c>
      <c r="C13" s="1" t="s">
        <v>85</v>
      </c>
      <c r="D13" s="1" t="s">
        <v>86</v>
      </c>
      <c r="E13" s="16">
        <v>4</v>
      </c>
      <c r="F13" s="1" t="s">
        <v>152</v>
      </c>
      <c r="G13" s="4">
        <v>4850</v>
      </c>
      <c r="H13" s="4">
        <v>6500</v>
      </c>
      <c r="I13" s="4">
        <f t="shared" ref="I13" si="7">E13*G13</f>
        <v>19400</v>
      </c>
      <c r="J13" s="4">
        <f t="shared" ref="J13" si="8">E13*H13</f>
        <v>26000</v>
      </c>
    </row>
    <row r="14" spans="1:11" ht="12" thickBot="1" x14ac:dyDescent="0.3">
      <c r="A14" s="11"/>
      <c r="B14" s="11"/>
      <c r="C14" s="5"/>
      <c r="D14" s="5"/>
      <c r="E14" s="17"/>
      <c r="F14" s="5"/>
      <c r="G14" s="6"/>
      <c r="H14" s="6"/>
      <c r="I14" s="6"/>
      <c r="J14" s="6"/>
    </row>
    <row r="15" spans="1:11" ht="24.6" thickTop="1" x14ac:dyDescent="0.25">
      <c r="D15" s="2" t="s">
        <v>319</v>
      </c>
      <c r="E15" s="18"/>
      <c r="F15" s="2"/>
      <c r="G15" s="3"/>
      <c r="H15" s="3"/>
      <c r="I15" s="3">
        <f>SUM(I7:I14)</f>
        <v>11696275.4</v>
      </c>
      <c r="J15" s="3">
        <f>SUM(J7:J14)</f>
        <v>12677357.6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0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+SUMIF($B6:$B9,$F3,$I6:$I9)</f>
        <v>0</v>
      </c>
      <c r="J3" s="37">
        <f>+SUMIF($B6:$B9,$F3,$J6:$J9)</f>
        <v>0</v>
      </c>
    </row>
    <row r="4" spans="1:11" ht="12" x14ac:dyDescent="0.25">
      <c r="F4" s="1" t="s">
        <v>395</v>
      </c>
      <c r="G4" s="35" t="s">
        <v>450</v>
      </c>
      <c r="H4" s="36"/>
      <c r="I4" s="37">
        <f>+SUMIF($B6:$B10,$F4,$I6:$I10)</f>
        <v>99468</v>
      </c>
      <c r="J4" s="37">
        <f>+SUMIF($B6:$B10,$F4,$J6:$J10)</f>
        <v>92448</v>
      </c>
    </row>
    <row r="6" spans="1:11" ht="12" x14ac:dyDescent="0.25">
      <c r="D6" s="2" t="s">
        <v>322</v>
      </c>
    </row>
    <row r="7" spans="1:11" ht="57" x14ac:dyDescent="0.25">
      <c r="A7" s="10">
        <v>1</v>
      </c>
      <c r="B7" s="10" t="s">
        <v>395</v>
      </c>
      <c r="C7" s="1" t="s">
        <v>73</v>
      </c>
      <c r="D7" s="1" t="s">
        <v>320</v>
      </c>
      <c r="E7" s="16">
        <f>3*3.6</f>
        <v>10.8</v>
      </c>
      <c r="F7" s="1" t="s">
        <v>151</v>
      </c>
      <c r="G7" s="4">
        <v>5960</v>
      </c>
      <c r="H7" s="4">
        <v>4580</v>
      </c>
      <c r="I7" s="4">
        <f t="shared" ref="I7" si="0">E7*G7</f>
        <v>64368.000000000007</v>
      </c>
      <c r="J7" s="4">
        <f t="shared" ref="J7" si="1">E7*H7</f>
        <v>49464</v>
      </c>
      <c r="K7" s="21" t="s">
        <v>321</v>
      </c>
    </row>
    <row r="8" spans="1:11" ht="45.6" x14ac:dyDescent="0.25">
      <c r="A8" s="10">
        <f t="shared" ref="A8" si="2">A7+1</f>
        <v>2</v>
      </c>
      <c r="B8" s="10" t="s">
        <v>395</v>
      </c>
      <c r="D8" s="1" t="s">
        <v>218</v>
      </c>
      <c r="E8" s="16">
        <f>4*2.7</f>
        <v>10.8</v>
      </c>
      <c r="F8" s="1" t="s">
        <v>122</v>
      </c>
      <c r="G8" s="4">
        <v>3250</v>
      </c>
      <c r="H8" s="4">
        <v>3980</v>
      </c>
      <c r="I8" s="4">
        <f t="shared" ref="I8" si="3">E8*G8</f>
        <v>35100</v>
      </c>
      <c r="J8" s="4">
        <f t="shared" ref="J8" si="4">E8*H8</f>
        <v>42984</v>
      </c>
    </row>
    <row r="9" spans="1:11" ht="12" thickBot="1" x14ac:dyDescent="0.3">
      <c r="A9" s="11"/>
      <c r="B9" s="11"/>
      <c r="C9" s="5"/>
      <c r="D9" s="5"/>
      <c r="E9" s="17"/>
      <c r="F9" s="5"/>
      <c r="G9" s="6"/>
      <c r="H9" s="6"/>
      <c r="I9" s="6"/>
      <c r="J9" s="6"/>
    </row>
    <row r="10" spans="1:11" ht="12.6" thickTop="1" x14ac:dyDescent="0.25">
      <c r="D10" s="2" t="s">
        <v>323</v>
      </c>
      <c r="E10" s="18"/>
      <c r="F10" s="2"/>
      <c r="G10" s="3"/>
      <c r="H10" s="3"/>
      <c r="I10" s="3">
        <f>SUM(I7:I9)</f>
        <v>99468</v>
      </c>
      <c r="J10" s="3">
        <f>SUM(J7:J9)</f>
        <v>92448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2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+SUMIF($B6:$B21,$F3,$I6:$I21)</f>
        <v>3974572.2</v>
      </c>
      <c r="J3" s="37">
        <f>+SUMIF($B6:$B21,$F3,$J6:$J21)</f>
        <v>3933601.6</v>
      </c>
    </row>
    <row r="4" spans="1:11" ht="12" x14ac:dyDescent="0.25">
      <c r="F4" s="1" t="s">
        <v>395</v>
      </c>
      <c r="G4" s="35" t="s">
        <v>450</v>
      </c>
      <c r="H4" s="36"/>
      <c r="I4" s="37">
        <f>+SUMIF($B7:$B22,$F4,$I7:$I22)</f>
        <v>691011.6</v>
      </c>
      <c r="J4" s="37">
        <f>+SUMIF($B7:$B22,$F4,$J7:$J22)</f>
        <v>1152200</v>
      </c>
    </row>
    <row r="6" spans="1:11" ht="12" x14ac:dyDescent="0.25">
      <c r="D6" s="2" t="s">
        <v>341</v>
      </c>
    </row>
    <row r="7" spans="1:11" ht="22.8" x14ac:dyDescent="0.25">
      <c r="A7" s="10">
        <v>1</v>
      </c>
      <c r="B7" s="10" t="s">
        <v>236</v>
      </c>
      <c r="C7" s="1" t="s">
        <v>90</v>
      </c>
      <c r="D7" s="1" t="s">
        <v>137</v>
      </c>
      <c r="E7" s="16">
        <v>220.26</v>
      </c>
      <c r="F7" s="1" t="s">
        <v>151</v>
      </c>
      <c r="G7" s="4">
        <v>8450</v>
      </c>
      <c r="H7" s="4">
        <v>10500</v>
      </c>
      <c r="I7" s="4">
        <f t="shared" ref="I7:I14" si="0">E7*G7</f>
        <v>1861197</v>
      </c>
      <c r="J7" s="4">
        <f t="shared" ref="J7:J14" si="1">E7*H7</f>
        <v>2312730</v>
      </c>
    </row>
    <row r="8" spans="1:11" ht="34.200000000000003" x14ac:dyDescent="0.25">
      <c r="A8" s="10">
        <f>A7+1</f>
        <v>2</v>
      </c>
      <c r="B8" s="10" t="s">
        <v>236</v>
      </c>
      <c r="C8" s="1" t="s">
        <v>91</v>
      </c>
      <c r="D8" s="1" t="s">
        <v>340</v>
      </c>
      <c r="E8" s="16">
        <v>353.08</v>
      </c>
      <c r="F8" s="1" t="s">
        <v>151</v>
      </c>
      <c r="G8" s="4">
        <v>2750</v>
      </c>
      <c r="H8" s="4">
        <v>1650</v>
      </c>
      <c r="I8" s="4">
        <f t="shared" si="0"/>
        <v>970970</v>
      </c>
      <c r="J8" s="4">
        <f t="shared" si="1"/>
        <v>582582</v>
      </c>
    </row>
    <row r="9" spans="1:11" ht="22.8" x14ac:dyDescent="0.25">
      <c r="A9" s="10">
        <f>A8+1</f>
        <v>3</v>
      </c>
      <c r="B9" s="10" t="s">
        <v>236</v>
      </c>
      <c r="C9" s="1" t="s">
        <v>92</v>
      </c>
      <c r="D9" s="1" t="s">
        <v>93</v>
      </c>
      <c r="E9" s="16">
        <v>353.08</v>
      </c>
      <c r="F9" s="1" t="s">
        <v>151</v>
      </c>
      <c r="G9" s="4">
        <v>1540</v>
      </c>
      <c r="H9" s="4">
        <v>1450</v>
      </c>
      <c r="I9" s="4">
        <f t="shared" si="0"/>
        <v>543743.19999999995</v>
      </c>
      <c r="J9" s="4">
        <f t="shared" si="1"/>
        <v>511966</v>
      </c>
    </row>
    <row r="10" spans="1:11" ht="22.8" x14ac:dyDescent="0.25">
      <c r="A10" s="10">
        <f>A9+1</f>
        <v>4</v>
      </c>
      <c r="B10" s="10" t="s">
        <v>236</v>
      </c>
      <c r="C10" s="1" t="s">
        <v>179</v>
      </c>
      <c r="D10" s="1" t="s">
        <v>220</v>
      </c>
      <c r="E10" s="16">
        <v>386</v>
      </c>
      <c r="F10" s="1" t="s">
        <v>153</v>
      </c>
      <c r="G10" s="4">
        <v>385</v>
      </c>
      <c r="H10" s="4">
        <v>500</v>
      </c>
      <c r="I10" s="4">
        <f t="shared" si="0"/>
        <v>148610</v>
      </c>
      <c r="J10" s="4">
        <f t="shared" si="1"/>
        <v>193000</v>
      </c>
    </row>
    <row r="11" spans="1:11" ht="22.8" x14ac:dyDescent="0.25">
      <c r="A11" s="10">
        <f t="shared" ref="A11:A18" si="2">A10+1</f>
        <v>5</v>
      </c>
      <c r="B11" s="10" t="s">
        <v>236</v>
      </c>
      <c r="C11" s="1" t="s">
        <v>180</v>
      </c>
      <c r="D11" s="1" t="s">
        <v>181</v>
      </c>
      <c r="E11" s="16">
        <v>41.26</v>
      </c>
      <c r="F11" s="1" t="s">
        <v>151</v>
      </c>
      <c r="G11" s="4">
        <v>6450</v>
      </c>
      <c r="H11" s="4">
        <v>2860</v>
      </c>
      <c r="I11" s="4">
        <f t="shared" si="0"/>
        <v>266127</v>
      </c>
      <c r="J11" s="4">
        <f t="shared" si="1"/>
        <v>118003.59999999999</v>
      </c>
    </row>
    <row r="12" spans="1:11" ht="22.8" x14ac:dyDescent="0.25">
      <c r="A12" s="10">
        <f t="shared" si="2"/>
        <v>6</v>
      </c>
      <c r="B12" s="10" t="s">
        <v>236</v>
      </c>
      <c r="C12" s="1" t="s">
        <v>182</v>
      </c>
      <c r="D12" s="1" t="s">
        <v>183</v>
      </c>
      <c r="E12" s="16">
        <v>9</v>
      </c>
      <c r="F12" s="1" t="s">
        <v>153</v>
      </c>
      <c r="G12" s="4">
        <v>2450</v>
      </c>
      <c r="H12" s="4">
        <v>1980</v>
      </c>
      <c r="I12" s="4">
        <f t="shared" si="0"/>
        <v>22050</v>
      </c>
      <c r="J12" s="4">
        <f t="shared" si="1"/>
        <v>17820</v>
      </c>
    </row>
    <row r="13" spans="1:11" ht="22.8" x14ac:dyDescent="0.25">
      <c r="A13" s="10">
        <f t="shared" si="2"/>
        <v>7</v>
      </c>
      <c r="B13" s="10" t="s">
        <v>236</v>
      </c>
      <c r="C13" s="1" t="s">
        <v>184</v>
      </c>
      <c r="D13" s="1" t="s">
        <v>185</v>
      </c>
      <c r="E13" s="16">
        <v>425</v>
      </c>
      <c r="F13" s="1" t="s">
        <v>151</v>
      </c>
      <c r="G13" s="4">
        <v>245</v>
      </c>
      <c r="H13" s="4">
        <v>380</v>
      </c>
      <c r="I13" s="4">
        <f t="shared" si="0"/>
        <v>104125</v>
      </c>
      <c r="J13" s="4">
        <f t="shared" si="1"/>
        <v>161500</v>
      </c>
    </row>
    <row r="14" spans="1:11" ht="22.8" x14ac:dyDescent="0.25">
      <c r="A14" s="10">
        <f t="shared" si="2"/>
        <v>8</v>
      </c>
      <c r="B14" s="10" t="s">
        <v>236</v>
      </c>
      <c r="C14" s="1" t="s">
        <v>405</v>
      </c>
      <c r="D14" s="1" t="s">
        <v>406</v>
      </c>
      <c r="E14" s="16">
        <v>15</v>
      </c>
      <c r="F14" s="1" t="s">
        <v>151</v>
      </c>
      <c r="G14" s="4">
        <v>3850</v>
      </c>
      <c r="H14" s="4">
        <v>2400</v>
      </c>
      <c r="I14" s="4">
        <f t="shared" si="0"/>
        <v>57750</v>
      </c>
      <c r="J14" s="4">
        <f t="shared" si="1"/>
        <v>36000</v>
      </c>
    </row>
    <row r="15" spans="1:11" ht="34.200000000000003" x14ac:dyDescent="0.25">
      <c r="A15" s="10">
        <f t="shared" si="2"/>
        <v>9</v>
      </c>
      <c r="B15" s="10" t="s">
        <v>395</v>
      </c>
      <c r="D15" s="1" t="s">
        <v>337</v>
      </c>
      <c r="E15" s="16">
        <f>3*3.6</f>
        <v>10.8</v>
      </c>
      <c r="F15" s="1" t="s">
        <v>151</v>
      </c>
      <c r="G15" s="4">
        <v>10650</v>
      </c>
      <c r="H15" s="4">
        <v>12500</v>
      </c>
      <c r="I15" s="4">
        <f t="shared" ref="I15:I16" si="3">E15*G15</f>
        <v>115020.00000000001</v>
      </c>
      <c r="J15" s="4">
        <f t="shared" ref="J15:J16" si="4">E15*H15</f>
        <v>135000</v>
      </c>
      <c r="K15" s="21" t="s">
        <v>338</v>
      </c>
    </row>
    <row r="16" spans="1:11" ht="22.8" x14ac:dyDescent="0.25">
      <c r="A16" s="10">
        <f t="shared" si="2"/>
        <v>10</v>
      </c>
      <c r="B16" s="10" t="s">
        <v>395</v>
      </c>
      <c r="D16" s="1" t="s">
        <v>339</v>
      </c>
      <c r="E16" s="16">
        <f>E15</f>
        <v>10.8</v>
      </c>
      <c r="F16" s="1" t="s">
        <v>151</v>
      </c>
      <c r="G16" s="4">
        <v>6450</v>
      </c>
      <c r="H16" s="4">
        <v>3850</v>
      </c>
      <c r="I16" s="4">
        <f t="shared" si="3"/>
        <v>69660</v>
      </c>
      <c r="J16" s="4">
        <f t="shared" si="4"/>
        <v>41580</v>
      </c>
    </row>
    <row r="17" spans="1:11" ht="22.8" x14ac:dyDescent="0.25">
      <c r="A17" s="10">
        <f>A16+1</f>
        <v>11</v>
      </c>
      <c r="B17" s="10" t="s">
        <v>395</v>
      </c>
      <c r="D17" s="1" t="s">
        <v>344</v>
      </c>
      <c r="E17" s="16">
        <v>66.44</v>
      </c>
      <c r="F17" s="1" t="s">
        <v>151</v>
      </c>
      <c r="G17" s="4">
        <v>5890</v>
      </c>
      <c r="H17" s="4">
        <v>10500</v>
      </c>
      <c r="I17" s="4">
        <f t="shared" ref="I17:I19" si="5">E17*G17</f>
        <v>391331.6</v>
      </c>
      <c r="J17" s="4">
        <f t="shared" ref="J17:J19" si="6">E17*H17</f>
        <v>697620</v>
      </c>
      <c r="K17" s="21" t="s">
        <v>345</v>
      </c>
    </row>
    <row r="18" spans="1:11" ht="34.200000000000003" x14ac:dyDescent="0.25">
      <c r="A18" s="10">
        <f t="shared" si="2"/>
        <v>12</v>
      </c>
      <c r="B18" s="10" t="s">
        <v>395</v>
      </c>
      <c r="D18" s="1" t="s">
        <v>343</v>
      </c>
      <c r="E18" s="16">
        <v>1</v>
      </c>
      <c r="F18" s="1" t="s">
        <v>219</v>
      </c>
      <c r="G18" s="4">
        <v>115000</v>
      </c>
      <c r="H18" s="4">
        <v>35000</v>
      </c>
      <c r="I18" s="4">
        <f t="shared" si="5"/>
        <v>115000</v>
      </c>
      <c r="J18" s="4">
        <f t="shared" si="6"/>
        <v>35000</v>
      </c>
    </row>
    <row r="19" spans="1:11" ht="22.8" x14ac:dyDescent="0.25">
      <c r="A19" s="10">
        <v>12</v>
      </c>
      <c r="B19" s="10" t="s">
        <v>395</v>
      </c>
      <c r="D19" s="1" t="s">
        <v>420</v>
      </c>
      <c r="E19" s="16">
        <v>70</v>
      </c>
      <c r="F19" s="1" t="s">
        <v>122</v>
      </c>
      <c r="G19" s="4">
        <v>0</v>
      </c>
      <c r="H19" s="4">
        <v>1350</v>
      </c>
      <c r="I19" s="4">
        <f t="shared" si="5"/>
        <v>0</v>
      </c>
      <c r="J19" s="4">
        <f t="shared" si="6"/>
        <v>94500</v>
      </c>
    </row>
    <row r="20" spans="1:11" ht="22.8" x14ac:dyDescent="0.25">
      <c r="B20" s="10" t="s">
        <v>395</v>
      </c>
      <c r="D20" s="1" t="s">
        <v>421</v>
      </c>
      <c r="E20" s="16">
        <v>110</v>
      </c>
      <c r="F20" s="1" t="s">
        <v>122</v>
      </c>
      <c r="G20" s="4">
        <v>0</v>
      </c>
      <c r="H20" s="4">
        <v>1350</v>
      </c>
      <c r="I20" s="4">
        <f t="shared" ref="I20" si="7">E20*G20</f>
        <v>0</v>
      </c>
      <c r="J20" s="4">
        <f t="shared" ref="J20" si="8">E20*H20</f>
        <v>148500</v>
      </c>
    </row>
    <row r="21" spans="1:11" ht="12" thickBot="1" x14ac:dyDescent="0.3">
      <c r="A21" s="11"/>
      <c r="B21" s="11"/>
      <c r="C21" s="5"/>
      <c r="D21" s="5"/>
      <c r="E21" s="17"/>
      <c r="F21" s="5"/>
      <c r="G21" s="6"/>
      <c r="H21" s="6"/>
      <c r="I21" s="6"/>
      <c r="J21" s="6"/>
    </row>
    <row r="22" spans="1:11" ht="12.6" thickTop="1" x14ac:dyDescent="0.25">
      <c r="D22" s="2" t="s">
        <v>342</v>
      </c>
      <c r="E22" s="18"/>
      <c r="F22" s="2"/>
      <c r="G22" s="3"/>
      <c r="H22" s="3"/>
      <c r="I22" s="3">
        <f>SUM(I7:I21)</f>
        <v>4665583.8</v>
      </c>
      <c r="J22" s="3">
        <f>SUM(J7:J21)</f>
        <v>5085801.5999999996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12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+SUMIF($B6:$B11,$F3,$I6:$I11)</f>
        <v>2797908</v>
      </c>
      <c r="J3" s="37">
        <f>+SUMIF($B6:$B11,$F3,$J6:$J11)</f>
        <v>4709025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+SUMIF($B7:$B12,$F4,$I7:$I12)</f>
        <v>0</v>
      </c>
      <c r="J4" s="37">
        <f>+SUMIF($B7:$B12,$F4,$J7:$J12)</f>
        <v>0</v>
      </c>
    </row>
    <row r="6" spans="1:11" ht="12" x14ac:dyDescent="0.25">
      <c r="D6" s="2" t="s">
        <v>163</v>
      </c>
    </row>
    <row r="7" spans="1:11" ht="57" x14ac:dyDescent="0.25">
      <c r="A7" s="10">
        <v>1</v>
      </c>
      <c r="B7" s="10" t="s">
        <v>236</v>
      </c>
      <c r="C7" s="1" t="s">
        <v>187</v>
      </c>
      <c r="D7" s="1" t="s">
        <v>346</v>
      </c>
      <c r="E7" s="16">
        <v>1274.3</v>
      </c>
      <c r="F7" s="1" t="s">
        <v>151</v>
      </c>
      <c r="G7" s="4">
        <v>1860</v>
      </c>
      <c r="H7" s="4">
        <v>2750</v>
      </c>
      <c r="I7" s="4">
        <f t="shared" ref="I7" si="0">E7*G7</f>
        <v>2370198</v>
      </c>
      <c r="J7" s="4">
        <f t="shared" ref="J7" si="1">E7*H7</f>
        <v>3504325</v>
      </c>
    </row>
    <row r="8" spans="1:11" ht="34.200000000000003" x14ac:dyDescent="0.25">
      <c r="A8" s="10">
        <f>A7+1</f>
        <v>2</v>
      </c>
      <c r="B8" s="10" t="s">
        <v>236</v>
      </c>
      <c r="C8" s="1" t="s">
        <v>35</v>
      </c>
      <c r="D8" s="1" t="s">
        <v>221</v>
      </c>
      <c r="E8" s="16">
        <f>30*2.7</f>
        <v>81</v>
      </c>
      <c r="F8" s="1" t="s">
        <v>151</v>
      </c>
      <c r="G8" s="4">
        <v>960</v>
      </c>
      <c r="H8" s="4">
        <v>1350</v>
      </c>
      <c r="I8" s="4">
        <f>E8*G8</f>
        <v>77760</v>
      </c>
      <c r="J8" s="4">
        <f>E8*H8</f>
        <v>109350</v>
      </c>
    </row>
    <row r="9" spans="1:11" ht="22.8" x14ac:dyDescent="0.25">
      <c r="A9" s="10">
        <f>A8+1</f>
        <v>3</v>
      </c>
      <c r="B9" s="10" t="s">
        <v>236</v>
      </c>
      <c r="C9" s="1" t="s">
        <v>347</v>
      </c>
      <c r="D9" s="1" t="s">
        <v>348</v>
      </c>
      <c r="E9" s="16">
        <v>243</v>
      </c>
      <c r="F9" s="1" t="s">
        <v>122</v>
      </c>
      <c r="G9" s="4">
        <v>650</v>
      </c>
      <c r="H9" s="4">
        <v>2450</v>
      </c>
      <c r="I9" s="4">
        <f t="shared" ref="I9:I10" si="2">E9*G9</f>
        <v>157950</v>
      </c>
      <c r="J9" s="4">
        <f t="shared" ref="J9:J10" si="3">E9*H9</f>
        <v>595350</v>
      </c>
    </row>
    <row r="10" spans="1:11" ht="22.8" x14ac:dyDescent="0.25">
      <c r="A10" s="10">
        <f>A9+1</f>
        <v>4</v>
      </c>
      <c r="B10" s="10" t="s">
        <v>236</v>
      </c>
      <c r="C10" s="1" t="s">
        <v>349</v>
      </c>
      <c r="D10" s="1" t="s">
        <v>350</v>
      </c>
      <c r="E10" s="16">
        <v>400</v>
      </c>
      <c r="F10" s="1" t="s">
        <v>122</v>
      </c>
      <c r="G10" s="4">
        <v>480</v>
      </c>
      <c r="H10" s="4">
        <v>1250</v>
      </c>
      <c r="I10" s="4">
        <f t="shared" si="2"/>
        <v>192000</v>
      </c>
      <c r="J10" s="4">
        <f t="shared" si="3"/>
        <v>500000</v>
      </c>
      <c r="K10" s="21" t="s">
        <v>310</v>
      </c>
    </row>
    <row r="11" spans="1:11" ht="12" thickBot="1" x14ac:dyDescent="0.3">
      <c r="A11" s="11"/>
      <c r="B11" s="11"/>
      <c r="C11" s="5"/>
      <c r="D11" s="5"/>
      <c r="E11" s="17"/>
      <c r="F11" s="5"/>
      <c r="G11" s="6"/>
      <c r="H11" s="6"/>
      <c r="I11" s="6"/>
      <c r="J11" s="6"/>
    </row>
    <row r="12" spans="1:11" ht="12.6" thickTop="1" x14ac:dyDescent="0.25">
      <c r="D12" s="2" t="s">
        <v>351</v>
      </c>
      <c r="E12" s="18"/>
      <c r="F12" s="2"/>
      <c r="G12" s="3"/>
      <c r="H12" s="3"/>
      <c r="I12" s="3">
        <f>SUM(I7:I11)</f>
        <v>2797908</v>
      </c>
      <c r="J12" s="3">
        <f>SUM(J7:J11)</f>
        <v>4709025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6"/>
  <sheetViews>
    <sheetView view="pageBreakPreview" topLeftCell="A10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+SUMIF($B6:$B15,$F3,$I6:$I15)</f>
        <v>4773761.0999999996</v>
      </c>
      <c r="J3" s="37">
        <f>+SUMIF($B6:$B15,$F3,$J6:$J15)</f>
        <v>4860412.5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+SUMIF($B7:$B16,$F4,$I7:$I16)</f>
        <v>97155</v>
      </c>
      <c r="J4" s="37">
        <f>+SUMIF($B7:$B16,$F4,$J7:$J16)</f>
        <v>95472</v>
      </c>
    </row>
    <row r="6" spans="1:11" ht="12" x14ac:dyDescent="0.25">
      <c r="D6" s="2" t="s">
        <v>164</v>
      </c>
    </row>
    <row r="7" spans="1:11" ht="34.200000000000003" x14ac:dyDescent="0.25">
      <c r="A7" s="10">
        <v>1</v>
      </c>
      <c r="B7" s="10" t="s">
        <v>236</v>
      </c>
      <c r="C7" s="1" t="s">
        <v>188</v>
      </c>
      <c r="D7" s="1" t="s">
        <v>222</v>
      </c>
      <c r="E7" s="16">
        <v>397.9</v>
      </c>
      <c r="F7" s="1" t="s">
        <v>151</v>
      </c>
      <c r="G7" s="4">
        <v>1860</v>
      </c>
      <c r="H7" s="4">
        <v>2450</v>
      </c>
      <c r="I7" s="4">
        <f t="shared" ref="I7" si="0">E7*G7</f>
        <v>740094</v>
      </c>
      <c r="J7" s="4">
        <f t="shared" ref="J7" si="1">E7*H7</f>
        <v>974855</v>
      </c>
    </row>
    <row r="8" spans="1:11" ht="57" x14ac:dyDescent="0.25">
      <c r="A8" s="10">
        <f>A7+1</f>
        <v>2</v>
      </c>
      <c r="B8" s="10" t="s">
        <v>236</v>
      </c>
      <c r="C8" s="1" t="s">
        <v>94</v>
      </c>
      <c r="D8" s="1" t="s">
        <v>353</v>
      </c>
      <c r="E8" s="16">
        <f>E7-E10</f>
        <v>356.83</v>
      </c>
      <c r="F8" s="1" t="s">
        <v>151</v>
      </c>
      <c r="G8" s="4">
        <v>6750</v>
      </c>
      <c r="H8" s="4">
        <v>7250</v>
      </c>
      <c r="I8" s="4">
        <f t="shared" ref="I8" si="2">E8*G8</f>
        <v>2408602.5</v>
      </c>
      <c r="J8" s="4">
        <f t="shared" ref="J8" si="3">E8*H8</f>
        <v>2587017.5</v>
      </c>
    </row>
    <row r="9" spans="1:11" ht="57" x14ac:dyDescent="0.25">
      <c r="A9" s="10">
        <f t="shared" ref="A9:A11" si="4">A8+1</f>
        <v>3</v>
      </c>
      <c r="B9" s="10" t="s">
        <v>236</v>
      </c>
      <c r="C9" s="1" t="s">
        <v>95</v>
      </c>
      <c r="D9" s="1" t="s">
        <v>352</v>
      </c>
      <c r="E9" s="16">
        <v>6.78</v>
      </c>
      <c r="F9" s="1" t="s">
        <v>151</v>
      </c>
      <c r="G9" s="4">
        <v>6750</v>
      </c>
      <c r="H9" s="4">
        <v>7250</v>
      </c>
      <c r="I9" s="4">
        <f t="shared" ref="I9" si="5">E9*G9</f>
        <v>45765</v>
      </c>
      <c r="J9" s="4">
        <f t="shared" ref="J9" si="6">E9*H9</f>
        <v>49155</v>
      </c>
    </row>
    <row r="10" spans="1:11" ht="57" x14ac:dyDescent="0.25">
      <c r="A10" s="10">
        <f t="shared" si="4"/>
        <v>4</v>
      </c>
      <c r="B10" s="10" t="s">
        <v>236</v>
      </c>
      <c r="C10" s="1" t="s">
        <v>223</v>
      </c>
      <c r="D10" s="1" t="s">
        <v>354</v>
      </c>
      <c r="E10" s="16">
        <f>68.45*0.6</f>
        <v>41.07</v>
      </c>
      <c r="F10" s="1" t="s">
        <v>151</v>
      </c>
      <c r="G10" s="4">
        <v>15280</v>
      </c>
      <c r="H10" s="4">
        <v>7500</v>
      </c>
      <c r="I10" s="4">
        <f t="shared" ref="I10" si="7">E10*G10</f>
        <v>627549.6</v>
      </c>
      <c r="J10" s="4">
        <f t="shared" ref="J10" si="8">E10*H10</f>
        <v>308025</v>
      </c>
    </row>
    <row r="11" spans="1:11" ht="45.6" x14ac:dyDescent="0.25">
      <c r="A11" s="10">
        <f t="shared" si="4"/>
        <v>5</v>
      </c>
      <c r="B11" s="10" t="s">
        <v>236</v>
      </c>
      <c r="C11" s="1" t="s">
        <v>88</v>
      </c>
      <c r="D11" s="1" t="s">
        <v>355</v>
      </c>
      <c r="E11" s="16">
        <f>E8+E9+E10-E12</f>
        <v>367.61999999999995</v>
      </c>
      <c r="F11" s="1" t="s">
        <v>151</v>
      </c>
      <c r="G11" s="4">
        <v>2250</v>
      </c>
      <c r="H11" s="4">
        <v>2400</v>
      </c>
      <c r="I11" s="4">
        <f t="shared" ref="I11" si="9">E11*G11</f>
        <v>827144.99999999988</v>
      </c>
      <c r="J11" s="4">
        <f t="shared" ref="J11" si="10">E11*H11</f>
        <v>882287.99999999988</v>
      </c>
    </row>
    <row r="12" spans="1:11" ht="45.6" x14ac:dyDescent="0.25">
      <c r="B12" s="10" t="s">
        <v>395</v>
      </c>
      <c r="C12" s="1" t="s">
        <v>88</v>
      </c>
      <c r="D12" s="1" t="s">
        <v>355</v>
      </c>
      <c r="E12" s="16">
        <f>6.8*5.45</f>
        <v>37.06</v>
      </c>
      <c r="F12" s="1" t="s">
        <v>151</v>
      </c>
      <c r="G12" s="4">
        <v>2250</v>
      </c>
      <c r="H12" s="4">
        <v>2400</v>
      </c>
      <c r="I12" s="4">
        <f t="shared" ref="I12" si="11">E12*G12</f>
        <v>83385</v>
      </c>
      <c r="J12" s="4">
        <f t="shared" ref="J12" si="12">E12*H12</f>
        <v>88944</v>
      </c>
    </row>
    <row r="13" spans="1:11" ht="34.200000000000003" x14ac:dyDescent="0.25">
      <c r="A13" s="10">
        <f>A11+1</f>
        <v>6</v>
      </c>
      <c r="B13" s="10" t="s">
        <v>236</v>
      </c>
      <c r="C13" s="1" t="s">
        <v>357</v>
      </c>
      <c r="D13" s="1" t="s">
        <v>358</v>
      </c>
      <c r="E13" s="16">
        <f>20.5-E14</f>
        <v>18.46</v>
      </c>
      <c r="F13" s="1" t="s">
        <v>151</v>
      </c>
      <c r="G13" s="4">
        <v>6750</v>
      </c>
      <c r="H13" s="4">
        <v>3200</v>
      </c>
      <c r="I13" s="4">
        <f t="shared" ref="I13" si="13">E13*G13</f>
        <v>124605</v>
      </c>
      <c r="J13" s="4">
        <f t="shared" ref="J13" si="14">E13*H13</f>
        <v>59072</v>
      </c>
    </row>
    <row r="14" spans="1:11" ht="34.200000000000003" x14ac:dyDescent="0.25">
      <c r="B14" s="10" t="s">
        <v>395</v>
      </c>
      <c r="C14" s="1" t="s">
        <v>357</v>
      </c>
      <c r="D14" s="1" t="s">
        <v>358</v>
      </c>
      <c r="E14" s="16">
        <f>6.8*0.3</f>
        <v>2.04</v>
      </c>
      <c r="F14" s="1" t="s">
        <v>151</v>
      </c>
      <c r="G14" s="4">
        <v>6750</v>
      </c>
      <c r="H14" s="4">
        <v>3200</v>
      </c>
      <c r="I14" s="4">
        <f t="shared" ref="I14" si="15">E14*G14</f>
        <v>13770</v>
      </c>
      <c r="J14" s="4">
        <f t="shared" ref="J14" si="16">E14*H14</f>
        <v>6528</v>
      </c>
    </row>
    <row r="15" spans="1:11" ht="12" thickBot="1" x14ac:dyDescent="0.3">
      <c r="A15" s="11"/>
      <c r="B15" s="11"/>
      <c r="C15" s="5"/>
      <c r="D15" s="5"/>
      <c r="E15" s="17"/>
      <c r="F15" s="5"/>
      <c r="G15" s="6"/>
      <c r="H15" s="6"/>
      <c r="I15" s="6"/>
      <c r="J15" s="6"/>
    </row>
    <row r="16" spans="1:11" ht="12.6" thickTop="1" x14ac:dyDescent="0.25">
      <c r="D16" s="2" t="s">
        <v>356</v>
      </c>
      <c r="E16" s="18"/>
      <c r="F16" s="2"/>
      <c r="G16" s="3"/>
      <c r="H16" s="3"/>
      <c r="I16" s="3">
        <f>SUM(I7:I15)</f>
        <v>4870916.0999999996</v>
      </c>
      <c r="J16" s="3">
        <f>SUM(J7:J15)</f>
        <v>4955884.5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1"/>
  <sheetViews>
    <sheetView view="pageBreakPreview" topLeftCell="A16" zoomScaleNormal="100" zoomScaleSheetLayoutView="100" workbookViewId="0">
      <selection activeCell="H26" sqref="H26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+SUMIF($B6:$B20,$F3,$I6:$I20)</f>
        <v>3341285</v>
      </c>
      <c r="J3" s="37">
        <f>+SUMIF($B6:$B20,$F3,$J6:$J20)</f>
        <v>1576620</v>
      </c>
    </row>
    <row r="4" spans="1:11" ht="12" x14ac:dyDescent="0.25">
      <c r="F4" s="1" t="s">
        <v>395</v>
      </c>
      <c r="G4" s="35" t="s">
        <v>450</v>
      </c>
      <c r="H4" s="36"/>
      <c r="I4" s="37">
        <f>+SUMIF($B7:$B21,$F4,$I7:$I21)</f>
        <v>0</v>
      </c>
      <c r="J4" s="37">
        <f>+SUMIF($B7:$B21,$F4,$J7:$J21)</f>
        <v>0</v>
      </c>
    </row>
    <row r="6" spans="1:11" ht="12" x14ac:dyDescent="0.25">
      <c r="D6" s="2" t="s">
        <v>36</v>
      </c>
    </row>
    <row r="7" spans="1:11" ht="34.200000000000003" x14ac:dyDescent="0.25">
      <c r="A7" s="10">
        <v>1</v>
      </c>
      <c r="B7" s="10" t="s">
        <v>236</v>
      </c>
      <c r="C7" s="1" t="s">
        <v>359</v>
      </c>
      <c r="D7" s="1" t="s">
        <v>385</v>
      </c>
      <c r="E7" s="16">
        <v>338</v>
      </c>
      <c r="F7" s="1" t="s">
        <v>151</v>
      </c>
      <c r="G7" s="4">
        <v>5240</v>
      </c>
      <c r="H7" s="4">
        <v>2850</v>
      </c>
      <c r="I7" s="4">
        <f t="shared" ref="I7:I9" si="0">E7*G7</f>
        <v>1771120</v>
      </c>
      <c r="J7" s="4">
        <f t="shared" ref="J7:J9" si="1">E7*H7</f>
        <v>963300</v>
      </c>
    </row>
    <row r="8" spans="1:11" ht="34.200000000000003" x14ac:dyDescent="0.25">
      <c r="A8" s="10">
        <f>A7+1</f>
        <v>2</v>
      </c>
      <c r="B8" s="10" t="s">
        <v>236</v>
      </c>
      <c r="C8" s="1" t="s">
        <v>378</v>
      </c>
      <c r="D8" s="1" t="s">
        <v>377</v>
      </c>
      <c r="E8" s="16">
        <v>7.6</v>
      </c>
      <c r="F8" s="1" t="s">
        <v>122</v>
      </c>
      <c r="G8" s="4">
        <f>11500*3</f>
        <v>34500</v>
      </c>
      <c r="H8" s="4">
        <v>2150</v>
      </c>
      <c r="I8" s="4">
        <f t="shared" ref="I8" si="2">E8*G8</f>
        <v>262200</v>
      </c>
      <c r="J8" s="4">
        <f t="shared" ref="J8" si="3">E8*H8</f>
        <v>16340</v>
      </c>
    </row>
    <row r="9" spans="1:11" ht="22.8" x14ac:dyDescent="0.25">
      <c r="A9" s="10">
        <f t="shared" ref="A9:A19" si="4">A8+1</f>
        <v>3</v>
      </c>
      <c r="B9" s="10" t="s">
        <v>236</v>
      </c>
      <c r="C9" s="1" t="s">
        <v>360</v>
      </c>
      <c r="D9" s="1" t="s">
        <v>374</v>
      </c>
      <c r="E9" s="16">
        <v>42</v>
      </c>
      <c r="F9" s="1" t="s">
        <v>219</v>
      </c>
      <c r="G9" s="4">
        <v>3980</v>
      </c>
      <c r="H9" s="4">
        <v>2400</v>
      </c>
      <c r="I9" s="4">
        <f t="shared" si="0"/>
        <v>167160</v>
      </c>
      <c r="J9" s="4">
        <f t="shared" si="1"/>
        <v>100800</v>
      </c>
    </row>
    <row r="10" spans="1:11" ht="22.8" x14ac:dyDescent="0.25">
      <c r="A10" s="10">
        <f t="shared" si="4"/>
        <v>4</v>
      </c>
      <c r="B10" s="10" t="s">
        <v>236</v>
      </c>
      <c r="C10" s="1" t="s">
        <v>361</v>
      </c>
      <c r="D10" s="1" t="s">
        <v>382</v>
      </c>
      <c r="E10" s="16">
        <v>6</v>
      </c>
      <c r="F10" s="1" t="s">
        <v>219</v>
      </c>
      <c r="G10" s="4">
        <v>33500</v>
      </c>
      <c r="H10" s="4">
        <v>4850</v>
      </c>
      <c r="I10" s="4">
        <f t="shared" ref="I10:I19" si="5">E10*G10</f>
        <v>201000</v>
      </c>
      <c r="J10" s="4">
        <f t="shared" ref="J10:J19" si="6">E10*H10</f>
        <v>29100</v>
      </c>
    </row>
    <row r="11" spans="1:11" ht="34.200000000000003" x14ac:dyDescent="0.25">
      <c r="A11" s="10">
        <f t="shared" si="4"/>
        <v>5</v>
      </c>
      <c r="B11" s="10" t="s">
        <v>236</v>
      </c>
      <c r="C11" s="1" t="s">
        <v>362</v>
      </c>
      <c r="D11" s="1" t="s">
        <v>375</v>
      </c>
      <c r="E11" s="16">
        <v>1</v>
      </c>
      <c r="F11" s="1" t="s">
        <v>219</v>
      </c>
      <c r="G11" s="4">
        <v>20750</v>
      </c>
      <c r="H11" s="4">
        <v>2400</v>
      </c>
      <c r="I11" s="4">
        <f t="shared" si="5"/>
        <v>20750</v>
      </c>
      <c r="J11" s="4">
        <f t="shared" si="6"/>
        <v>2400</v>
      </c>
    </row>
    <row r="12" spans="1:11" ht="45.6" x14ac:dyDescent="0.25">
      <c r="A12" s="10">
        <f t="shared" si="4"/>
        <v>6</v>
      </c>
      <c r="B12" s="10" t="s">
        <v>236</v>
      </c>
      <c r="C12" s="1" t="s">
        <v>363</v>
      </c>
      <c r="D12" s="1" t="s">
        <v>376</v>
      </c>
      <c r="E12" s="16">
        <v>2</v>
      </c>
      <c r="F12" s="1" t="s">
        <v>219</v>
      </c>
      <c r="G12" s="4">
        <v>16900</v>
      </c>
      <c r="H12" s="4">
        <v>2400</v>
      </c>
      <c r="I12" s="4">
        <f t="shared" si="5"/>
        <v>33800</v>
      </c>
      <c r="J12" s="4">
        <f t="shared" si="6"/>
        <v>4800</v>
      </c>
    </row>
    <row r="13" spans="1:11" ht="34.200000000000003" x14ac:dyDescent="0.25">
      <c r="A13" s="10">
        <f t="shared" si="4"/>
        <v>7</v>
      </c>
      <c r="B13" s="10" t="s">
        <v>236</v>
      </c>
      <c r="C13" s="1" t="s">
        <v>364</v>
      </c>
      <c r="D13" s="1" t="s">
        <v>365</v>
      </c>
      <c r="E13" s="16">
        <v>1</v>
      </c>
      <c r="F13" s="1" t="s">
        <v>219</v>
      </c>
      <c r="G13" s="4">
        <v>85600</v>
      </c>
      <c r="H13" s="4">
        <v>28500</v>
      </c>
      <c r="I13" s="4">
        <f t="shared" si="5"/>
        <v>85600</v>
      </c>
      <c r="J13" s="4">
        <f t="shared" si="6"/>
        <v>28500</v>
      </c>
    </row>
    <row r="14" spans="1:11" ht="34.200000000000003" x14ac:dyDescent="0.25">
      <c r="A14" s="10">
        <f t="shared" si="4"/>
        <v>8</v>
      </c>
      <c r="B14" s="10" t="s">
        <v>236</v>
      </c>
      <c r="C14" s="1" t="s">
        <v>379</v>
      </c>
      <c r="D14" s="1" t="s">
        <v>380</v>
      </c>
      <c r="E14" s="16">
        <v>225</v>
      </c>
      <c r="F14" s="1" t="s">
        <v>219</v>
      </c>
      <c r="G14" s="4">
        <v>525</v>
      </c>
      <c r="H14" s="4">
        <v>580</v>
      </c>
      <c r="I14" s="4">
        <f t="shared" ref="I14" si="7">E14*G14</f>
        <v>118125</v>
      </c>
      <c r="J14" s="4">
        <f t="shared" ref="J14" si="8">E14*H14</f>
        <v>130500</v>
      </c>
    </row>
    <row r="15" spans="1:11" ht="22.8" x14ac:dyDescent="0.25">
      <c r="A15" s="10">
        <f t="shared" si="4"/>
        <v>9</v>
      </c>
      <c r="B15" s="10" t="s">
        <v>236</v>
      </c>
      <c r="C15" s="1" t="s">
        <v>366</v>
      </c>
      <c r="D15" s="1" t="s">
        <v>367</v>
      </c>
      <c r="E15" s="16">
        <v>65.599999999999994</v>
      </c>
      <c r="F15" s="1" t="s">
        <v>122</v>
      </c>
      <c r="G15" s="4">
        <v>585</v>
      </c>
      <c r="H15" s="4">
        <v>1250</v>
      </c>
      <c r="I15" s="4">
        <f t="shared" si="5"/>
        <v>38376</v>
      </c>
      <c r="J15" s="4">
        <f t="shared" si="6"/>
        <v>82000</v>
      </c>
    </row>
    <row r="16" spans="1:11" ht="22.8" x14ac:dyDescent="0.25">
      <c r="A16" s="10">
        <f t="shared" si="4"/>
        <v>10</v>
      </c>
      <c r="B16" s="10" t="s">
        <v>236</v>
      </c>
      <c r="C16" s="1" t="s">
        <v>368</v>
      </c>
      <c r="D16" s="1" t="s">
        <v>369</v>
      </c>
      <c r="E16" s="16">
        <v>65.599999999999994</v>
      </c>
      <c r="F16" s="1" t="s">
        <v>122</v>
      </c>
      <c r="G16" s="4">
        <v>485</v>
      </c>
      <c r="H16" s="4">
        <v>825</v>
      </c>
      <c r="I16" s="4">
        <f t="shared" si="5"/>
        <v>31815.999999999996</v>
      </c>
      <c r="J16" s="4">
        <f t="shared" si="6"/>
        <v>54119.999999999993</v>
      </c>
    </row>
    <row r="17" spans="1:10" ht="34.200000000000003" x14ac:dyDescent="0.25">
      <c r="A17" s="10">
        <f t="shared" si="4"/>
        <v>11</v>
      </c>
      <c r="B17" s="10" t="s">
        <v>236</v>
      </c>
      <c r="C17" s="1" t="s">
        <v>370</v>
      </c>
      <c r="D17" s="1" t="s">
        <v>383</v>
      </c>
      <c r="E17" s="16">
        <v>9</v>
      </c>
      <c r="F17" s="1" t="s">
        <v>122</v>
      </c>
      <c r="G17" s="4">
        <v>2850</v>
      </c>
      <c r="H17" s="4">
        <v>1760</v>
      </c>
      <c r="I17" s="4">
        <f t="shared" si="5"/>
        <v>25650</v>
      </c>
      <c r="J17" s="4">
        <f t="shared" si="6"/>
        <v>15840</v>
      </c>
    </row>
    <row r="18" spans="1:10" ht="22.8" x14ac:dyDescent="0.25">
      <c r="A18" s="10">
        <f t="shared" si="4"/>
        <v>12</v>
      </c>
      <c r="B18" s="10" t="s">
        <v>236</v>
      </c>
      <c r="C18" s="1" t="s">
        <v>371</v>
      </c>
      <c r="D18" s="1" t="s">
        <v>372</v>
      </c>
      <c r="E18" s="16">
        <v>65.599999999999994</v>
      </c>
      <c r="F18" s="1" t="s">
        <v>122</v>
      </c>
      <c r="G18" s="4">
        <v>980</v>
      </c>
      <c r="H18" s="4">
        <v>825</v>
      </c>
      <c r="I18" s="4">
        <f t="shared" si="5"/>
        <v>64287.999999999993</v>
      </c>
      <c r="J18" s="4">
        <f t="shared" si="6"/>
        <v>54119.999999999993</v>
      </c>
    </row>
    <row r="19" spans="1:10" ht="45.6" x14ac:dyDescent="0.25">
      <c r="A19" s="10">
        <f t="shared" si="4"/>
        <v>13</v>
      </c>
      <c r="B19" s="10" t="s">
        <v>236</v>
      </c>
      <c r="C19" s="1" t="s">
        <v>373</v>
      </c>
      <c r="D19" s="1" t="s">
        <v>381</v>
      </c>
      <c r="E19" s="16">
        <v>39.5</v>
      </c>
      <c r="F19" s="1" t="s">
        <v>122</v>
      </c>
      <c r="G19" s="4">
        <f>3450*3+2850</f>
        <v>13200</v>
      </c>
      <c r="H19" s="4">
        <v>2400</v>
      </c>
      <c r="I19" s="4">
        <f t="shared" si="5"/>
        <v>521400</v>
      </c>
      <c r="J19" s="4">
        <f t="shared" si="6"/>
        <v>94800</v>
      </c>
    </row>
    <row r="20" spans="1:10" ht="12" thickBot="1" x14ac:dyDescent="0.3">
      <c r="A20" s="11"/>
      <c r="B20" s="11"/>
      <c r="C20" s="5"/>
      <c r="D20" s="5"/>
      <c r="E20" s="17"/>
      <c r="F20" s="5"/>
      <c r="G20" s="6"/>
      <c r="H20" s="6"/>
      <c r="I20" s="6"/>
      <c r="J20" s="6"/>
    </row>
    <row r="21" spans="1:10" ht="12.6" thickTop="1" x14ac:dyDescent="0.25">
      <c r="D21" s="2" t="s">
        <v>384</v>
      </c>
      <c r="E21" s="18"/>
      <c r="F21" s="2"/>
      <c r="G21" s="3"/>
      <c r="H21" s="3"/>
      <c r="I21" s="3">
        <f>SUM(I7:I20)</f>
        <v>3341285</v>
      </c>
      <c r="J21" s="3">
        <f>SUM(J7:J20)</f>
        <v>1576620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3" orientation="landscape" r:id="rId1"/>
  <headerFooter alignWithMargins="0">
    <oddHeader>&amp;CKerepes sportközpont kiszolgáló épület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4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+SUMIF($B6:$B13,$F3,$I6:$I13)</f>
        <v>0</v>
      </c>
      <c r="J3" s="37">
        <f>+SUMIF($B6:$B13,$F3,$J6:$J13)</f>
        <v>0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+SUMIF($B7:$B14,$F4,$I7:$I14)</f>
        <v>7085746.0999999996</v>
      </c>
      <c r="J4" s="37">
        <f>+SUMIF($B7:$B14,$F4,$J7:$J14)</f>
        <v>7335600</v>
      </c>
    </row>
    <row r="6" spans="1:11" ht="12" x14ac:dyDescent="0.25">
      <c r="D6" s="2" t="s">
        <v>55</v>
      </c>
    </row>
    <row r="7" spans="1:11" ht="45.6" x14ac:dyDescent="0.25">
      <c r="A7" s="10">
        <v>1</v>
      </c>
      <c r="B7" s="10" t="s">
        <v>395</v>
      </c>
      <c r="C7" s="1" t="s">
        <v>174</v>
      </c>
      <c r="D7" s="1" t="s">
        <v>391</v>
      </c>
      <c r="E7" s="16">
        <v>352.13</v>
      </c>
      <c r="F7" s="1" t="s">
        <v>151</v>
      </c>
      <c r="G7" s="4">
        <v>8750</v>
      </c>
      <c r="H7" s="4">
        <v>9200</v>
      </c>
      <c r="I7" s="4">
        <f t="shared" ref="I7:I8" si="0">E7*G7</f>
        <v>3081137.5</v>
      </c>
      <c r="J7" s="4">
        <f t="shared" ref="J7:J8" si="1">E7*H7</f>
        <v>3239596</v>
      </c>
      <c r="K7" s="21" t="s">
        <v>411</v>
      </c>
    </row>
    <row r="8" spans="1:11" ht="45.6" x14ac:dyDescent="0.25">
      <c r="A8" s="10">
        <f>A7+1</f>
        <v>2</v>
      </c>
      <c r="B8" s="10" t="s">
        <v>395</v>
      </c>
      <c r="C8" s="1" t="s">
        <v>191</v>
      </c>
      <c r="D8" s="1" t="s">
        <v>392</v>
      </c>
      <c r="E8" s="16">
        <v>73.22</v>
      </c>
      <c r="F8" s="1" t="s">
        <v>151</v>
      </c>
      <c r="G8" s="4">
        <v>9480</v>
      </c>
      <c r="H8" s="4">
        <v>9200</v>
      </c>
      <c r="I8" s="4">
        <f t="shared" si="0"/>
        <v>694125.6</v>
      </c>
      <c r="J8" s="4">
        <f t="shared" si="1"/>
        <v>673624</v>
      </c>
      <c r="K8" s="21" t="s">
        <v>412</v>
      </c>
    </row>
    <row r="9" spans="1:11" ht="45.6" x14ac:dyDescent="0.25">
      <c r="A9" s="10">
        <f t="shared" ref="A9:A12" si="2">A8+1</f>
        <v>3</v>
      </c>
      <c r="B9" s="10" t="s">
        <v>395</v>
      </c>
      <c r="C9" s="1" t="s">
        <v>103</v>
      </c>
      <c r="D9" s="1" t="s">
        <v>393</v>
      </c>
      <c r="E9" s="16">
        <v>296.3</v>
      </c>
      <c r="F9" s="1" t="s">
        <v>151</v>
      </c>
      <c r="G9" s="4">
        <v>8250</v>
      </c>
      <c r="H9" s="4">
        <v>9200</v>
      </c>
      <c r="I9" s="4">
        <f t="shared" ref="I9:I10" si="3">E9*G9</f>
        <v>2444475</v>
      </c>
      <c r="J9" s="4">
        <f t="shared" ref="J9:J10" si="4">E9*H9</f>
        <v>2725960</v>
      </c>
      <c r="K9" s="21" t="s">
        <v>413</v>
      </c>
    </row>
    <row r="10" spans="1:11" ht="45.6" x14ac:dyDescent="0.25">
      <c r="A10" s="10">
        <f t="shared" si="2"/>
        <v>4</v>
      </c>
      <c r="B10" s="10" t="s">
        <v>395</v>
      </c>
      <c r="C10" s="1" t="s">
        <v>192</v>
      </c>
      <c r="D10" s="1" t="s">
        <v>394</v>
      </c>
      <c r="E10" s="16">
        <f>18*1.5+2*2.7</f>
        <v>32.4</v>
      </c>
      <c r="F10" s="1" t="s">
        <v>193</v>
      </c>
      <c r="G10" s="4">
        <v>8320</v>
      </c>
      <c r="H10" s="4">
        <v>9200</v>
      </c>
      <c r="I10" s="4">
        <f t="shared" si="3"/>
        <v>269568</v>
      </c>
      <c r="J10" s="4">
        <f t="shared" si="4"/>
        <v>298080</v>
      </c>
      <c r="K10" s="21" t="s">
        <v>414</v>
      </c>
    </row>
    <row r="11" spans="1:11" ht="34.200000000000003" x14ac:dyDescent="0.25">
      <c r="A11" s="10">
        <f t="shared" si="2"/>
        <v>5</v>
      </c>
      <c r="B11" s="10" t="s">
        <v>395</v>
      </c>
      <c r="C11" s="1" t="s">
        <v>387</v>
      </c>
      <c r="D11" s="1" t="s">
        <v>389</v>
      </c>
      <c r="E11" s="16">
        <v>383</v>
      </c>
      <c r="F11" s="1" t="s">
        <v>122</v>
      </c>
      <c r="G11" s="4">
        <v>1480</v>
      </c>
      <c r="H11" s="4">
        <v>980</v>
      </c>
      <c r="I11" s="4">
        <f t="shared" ref="I11:I12" si="5">E11*G11</f>
        <v>566840</v>
      </c>
      <c r="J11" s="4">
        <f t="shared" ref="J11:J12" si="6">E11*H11</f>
        <v>375340</v>
      </c>
    </row>
    <row r="12" spans="1:11" ht="22.8" x14ac:dyDescent="0.25">
      <c r="A12" s="10">
        <f t="shared" si="2"/>
        <v>6</v>
      </c>
      <c r="B12" s="10" t="s">
        <v>395</v>
      </c>
      <c r="C12" s="1" t="s">
        <v>388</v>
      </c>
      <c r="D12" s="1" t="s">
        <v>390</v>
      </c>
      <c r="E12" s="16">
        <f>18*0.5*2+0.5*2*2</f>
        <v>20</v>
      </c>
      <c r="F12" s="1" t="s">
        <v>122</v>
      </c>
      <c r="G12" s="4">
        <v>1480</v>
      </c>
      <c r="H12" s="4">
        <v>1150</v>
      </c>
      <c r="I12" s="4">
        <f t="shared" si="5"/>
        <v>29600</v>
      </c>
      <c r="J12" s="4">
        <f t="shared" si="6"/>
        <v>23000</v>
      </c>
    </row>
    <row r="13" spans="1:11" ht="12" thickBot="1" x14ac:dyDescent="0.3">
      <c r="A13" s="11"/>
      <c r="B13" s="11"/>
      <c r="C13" s="5"/>
      <c r="D13" s="5"/>
      <c r="E13" s="17"/>
      <c r="F13" s="5"/>
      <c r="G13" s="6"/>
      <c r="H13" s="6"/>
      <c r="I13" s="6"/>
      <c r="J13" s="6"/>
    </row>
    <row r="14" spans="1:11" ht="12.6" thickTop="1" x14ac:dyDescent="0.25">
      <c r="D14" s="2" t="s">
        <v>410</v>
      </c>
      <c r="E14" s="18"/>
      <c r="F14" s="2"/>
      <c r="G14" s="3"/>
      <c r="H14" s="3"/>
      <c r="I14" s="3">
        <f>SUM(I7:I13)</f>
        <v>7085746.0999999996</v>
      </c>
      <c r="J14" s="3">
        <f>SUM(J7:J13)</f>
        <v>7335600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16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+SUMIF($B6:$B15,$F3,$I6:$I15)</f>
        <v>1555998</v>
      </c>
      <c r="J3" s="37">
        <f>+SUMIF($B6:$B15,$F3,$J6:$J15)</f>
        <v>1144440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+SUMIF($B7:$B16,$F4,$I7:$I16)</f>
        <v>0</v>
      </c>
      <c r="J4" s="37">
        <f>+SUMIF($B7:$B16,$F4,$J7:$J16)</f>
        <v>0</v>
      </c>
    </row>
    <row r="6" spans="1:11" ht="12" x14ac:dyDescent="0.25">
      <c r="D6" s="2" t="s">
        <v>5</v>
      </c>
    </row>
    <row r="7" spans="1:11" ht="22.8" x14ac:dyDescent="0.25">
      <c r="A7" s="10">
        <v>1</v>
      </c>
      <c r="B7" s="10" t="s">
        <v>236</v>
      </c>
      <c r="C7" s="1" t="s">
        <v>407</v>
      </c>
      <c r="D7" s="1" t="s">
        <v>416</v>
      </c>
      <c r="E7" s="16">
        <v>15</v>
      </c>
      <c r="F7" s="1" t="s">
        <v>135</v>
      </c>
      <c r="G7" s="4">
        <v>22500</v>
      </c>
      <c r="H7" s="4">
        <v>18200</v>
      </c>
      <c r="I7" s="4">
        <f t="shared" ref="I7:I8" si="0">E7*G7</f>
        <v>337500</v>
      </c>
      <c r="J7" s="4">
        <f t="shared" ref="J7:J8" si="1">E7*H7</f>
        <v>273000</v>
      </c>
    </row>
    <row r="8" spans="1:11" ht="45.6" x14ac:dyDescent="0.25">
      <c r="A8" s="10">
        <f>A7+1</f>
        <v>2</v>
      </c>
      <c r="B8" s="10" t="s">
        <v>236</v>
      </c>
      <c r="C8" s="1" t="s">
        <v>408</v>
      </c>
      <c r="D8" s="1" t="s">
        <v>409</v>
      </c>
      <c r="E8" s="16">
        <v>15</v>
      </c>
      <c r="F8" s="1" t="s">
        <v>135</v>
      </c>
      <c r="G8" s="4">
        <v>3150</v>
      </c>
      <c r="H8" s="4">
        <v>2500</v>
      </c>
      <c r="I8" s="4">
        <f t="shared" si="0"/>
        <v>47250</v>
      </c>
      <c r="J8" s="4">
        <f t="shared" si="1"/>
        <v>37500</v>
      </c>
    </row>
    <row r="9" spans="1:11" ht="45.6" x14ac:dyDescent="0.25">
      <c r="A9" s="10">
        <f t="shared" ref="A9:A14" si="2">A8+1</f>
        <v>3</v>
      </c>
      <c r="B9" s="10" t="s">
        <v>236</v>
      </c>
      <c r="C9" s="1" t="s">
        <v>41</v>
      </c>
      <c r="D9" s="1" t="s">
        <v>228</v>
      </c>
      <c r="E9" s="16">
        <v>75.599999999999994</v>
      </c>
      <c r="F9" s="1" t="s">
        <v>122</v>
      </c>
      <c r="G9" s="4">
        <v>7980</v>
      </c>
      <c r="H9" s="4">
        <v>4800</v>
      </c>
      <c r="I9" s="4">
        <f t="shared" ref="I9:I11" si="3">E9*G9</f>
        <v>603288</v>
      </c>
      <c r="J9" s="4">
        <f t="shared" ref="J9:J11" si="4">E9*H9</f>
        <v>362880</v>
      </c>
    </row>
    <row r="10" spans="1:11" ht="34.200000000000003" x14ac:dyDescent="0.25">
      <c r="A10" s="10">
        <f t="shared" si="2"/>
        <v>4</v>
      </c>
      <c r="B10" s="10" t="s">
        <v>236</v>
      </c>
      <c r="C10" s="1" t="s">
        <v>42</v>
      </c>
      <c r="D10" s="1" t="s">
        <v>229</v>
      </c>
      <c r="E10" s="16">
        <v>24</v>
      </c>
      <c r="F10" s="1" t="s">
        <v>122</v>
      </c>
      <c r="G10" s="4">
        <v>7980</v>
      </c>
      <c r="H10" s="4">
        <v>4800</v>
      </c>
      <c r="I10" s="4">
        <f t="shared" si="3"/>
        <v>191520</v>
      </c>
      <c r="J10" s="4">
        <f t="shared" si="4"/>
        <v>115200</v>
      </c>
    </row>
    <row r="11" spans="1:11" ht="34.200000000000003" x14ac:dyDescent="0.25">
      <c r="A11" s="10">
        <f t="shared" si="2"/>
        <v>5</v>
      </c>
      <c r="B11" s="10" t="s">
        <v>236</v>
      </c>
      <c r="C11" s="1" t="s">
        <v>65</v>
      </c>
      <c r="D11" s="1" t="s">
        <v>230</v>
      </c>
      <c r="E11" s="16">
        <v>75.599999999999994</v>
      </c>
      <c r="F11" s="1" t="s">
        <v>122</v>
      </c>
      <c r="G11" s="4">
        <v>3150</v>
      </c>
      <c r="H11" s="4">
        <v>2850</v>
      </c>
      <c r="I11" s="4">
        <f t="shared" si="3"/>
        <v>238139.99999999997</v>
      </c>
      <c r="J11" s="4">
        <f t="shared" si="4"/>
        <v>215459.99999999997</v>
      </c>
    </row>
    <row r="12" spans="1:11" s="12" customFormat="1" ht="34.200000000000003" x14ac:dyDescent="0.25">
      <c r="A12" s="10">
        <f t="shared" si="2"/>
        <v>6</v>
      </c>
      <c r="B12" s="10" t="s">
        <v>236</v>
      </c>
      <c r="C12" s="1" t="s">
        <v>39</v>
      </c>
      <c r="D12" s="1" t="s">
        <v>231</v>
      </c>
      <c r="E12" s="16">
        <v>3</v>
      </c>
      <c r="F12" s="1" t="s">
        <v>122</v>
      </c>
      <c r="G12" s="4">
        <v>7250</v>
      </c>
      <c r="H12" s="4">
        <v>8500</v>
      </c>
      <c r="I12" s="4">
        <f>E12*G12</f>
        <v>21750</v>
      </c>
      <c r="J12" s="4">
        <f>E12*H12</f>
        <v>25500</v>
      </c>
      <c r="K12" s="21"/>
    </row>
    <row r="13" spans="1:11" ht="34.200000000000003" x14ac:dyDescent="0.25">
      <c r="A13" s="10">
        <f t="shared" si="2"/>
        <v>7</v>
      </c>
      <c r="B13" s="10" t="s">
        <v>236</v>
      </c>
      <c r="C13" s="1" t="s">
        <v>4</v>
      </c>
      <c r="D13" s="1" t="s">
        <v>402</v>
      </c>
      <c r="E13" s="16">
        <v>9</v>
      </c>
      <c r="F13" s="1" t="s">
        <v>122</v>
      </c>
      <c r="G13" s="4">
        <v>9450</v>
      </c>
      <c r="H13" s="4">
        <v>8500</v>
      </c>
      <c r="I13" s="4">
        <f t="shared" ref="I13:I14" si="5">E13*G13</f>
        <v>85050</v>
      </c>
      <c r="J13" s="4">
        <f t="shared" ref="J13:J14" si="6">E13*H13</f>
        <v>76500</v>
      </c>
    </row>
    <row r="14" spans="1:11" ht="22.8" x14ac:dyDescent="0.25">
      <c r="A14" s="10">
        <f t="shared" si="2"/>
        <v>8</v>
      </c>
      <c r="B14" s="10" t="s">
        <v>236</v>
      </c>
      <c r="C14" s="1" t="s">
        <v>403</v>
      </c>
      <c r="D14" s="1" t="s">
        <v>404</v>
      </c>
      <c r="E14" s="16">
        <v>3</v>
      </c>
      <c r="F14" s="1" t="s">
        <v>122</v>
      </c>
      <c r="G14" s="4">
        <v>10500</v>
      </c>
      <c r="H14" s="4">
        <v>12800</v>
      </c>
      <c r="I14" s="4">
        <f t="shared" si="5"/>
        <v>31500</v>
      </c>
      <c r="J14" s="4">
        <f t="shared" si="6"/>
        <v>38400</v>
      </c>
    </row>
    <row r="15" spans="1:11" ht="12" thickBot="1" x14ac:dyDescent="0.3">
      <c r="A15" s="11"/>
      <c r="B15" s="11"/>
      <c r="C15" s="5"/>
      <c r="D15" s="5"/>
      <c r="E15" s="17"/>
      <c r="F15" s="5"/>
      <c r="G15" s="6"/>
      <c r="H15" s="6"/>
      <c r="I15" s="6"/>
      <c r="J15" s="6"/>
    </row>
    <row r="16" spans="1:11" ht="12.6" thickTop="1" x14ac:dyDescent="0.25">
      <c r="D16" s="2" t="s">
        <v>415</v>
      </c>
      <c r="E16" s="18"/>
      <c r="F16" s="2"/>
      <c r="G16" s="3"/>
      <c r="H16" s="3"/>
      <c r="I16" s="3">
        <f>SUM(I7:I15)</f>
        <v>1555998</v>
      </c>
      <c r="J16" s="3">
        <f>SUM(J7:J15)</f>
        <v>1144440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2" width="20.77734375" style="21" customWidth="1"/>
    <col min="13" max="16384" width="9.109375" style="1"/>
  </cols>
  <sheetData>
    <row r="1" spans="1:12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  <c r="L1" s="19"/>
    </row>
    <row r="2" spans="1:12" s="2" customFormat="1" ht="12" x14ac:dyDescent="0.25">
      <c r="A2" s="13"/>
      <c r="B2" s="13"/>
      <c r="E2" s="18"/>
      <c r="G2" s="3"/>
      <c r="H2" s="3"/>
      <c r="I2" s="3"/>
      <c r="J2" s="3"/>
      <c r="K2" s="24"/>
      <c r="L2" s="24"/>
    </row>
    <row r="3" spans="1:12" s="2" customFormat="1" ht="12" x14ac:dyDescent="0.25">
      <c r="A3" s="13"/>
      <c r="B3" s="13"/>
      <c r="E3" s="18"/>
      <c r="F3" s="1" t="s">
        <v>236</v>
      </c>
      <c r="G3" s="35" t="s">
        <v>449</v>
      </c>
      <c r="H3" s="36"/>
      <c r="I3" s="37">
        <f>+SUMIF($B6:$B9,$F3,$I6:$I9)</f>
        <v>0</v>
      </c>
      <c r="J3" s="37">
        <f>+SUMIF($B6:$B9,$F3,$J6:$J9)</f>
        <v>1220000</v>
      </c>
      <c r="K3" s="24"/>
      <c r="L3" s="24"/>
    </row>
    <row r="4" spans="1:12" s="2" customFormat="1" ht="12" x14ac:dyDescent="0.25">
      <c r="A4" s="13"/>
      <c r="B4" s="13"/>
      <c r="E4" s="18"/>
      <c r="F4" s="1" t="s">
        <v>395</v>
      </c>
      <c r="G4" s="35" t="s">
        <v>450</v>
      </c>
      <c r="H4" s="36"/>
      <c r="I4" s="37">
        <f>+SUMIF($B6:$B9,$F4,$I6:$I9)</f>
        <v>0</v>
      </c>
      <c r="J4" s="37">
        <f>+SUMIF($B6:$B9,$F4,$J6:$J9)</f>
        <v>0</v>
      </c>
      <c r="K4" s="24"/>
      <c r="L4" s="24"/>
    </row>
    <row r="5" spans="1:12" s="2" customFormat="1" ht="12" x14ac:dyDescent="0.25">
      <c r="A5" s="13"/>
      <c r="B5" s="13"/>
      <c r="E5" s="18"/>
      <c r="G5" s="3"/>
      <c r="H5" s="3"/>
      <c r="I5" s="3"/>
      <c r="J5" s="3"/>
      <c r="K5" s="24"/>
      <c r="L5" s="24"/>
    </row>
    <row r="6" spans="1:12" s="2" customFormat="1" ht="13.2" customHeight="1" x14ac:dyDescent="0.25">
      <c r="A6" s="13"/>
      <c r="B6" s="13"/>
      <c r="D6" s="2" t="s">
        <v>247</v>
      </c>
      <c r="E6" s="18"/>
      <c r="G6" s="3"/>
      <c r="H6" s="3"/>
      <c r="I6" s="3"/>
      <c r="J6" s="3"/>
      <c r="K6" s="20"/>
      <c r="L6" s="20"/>
    </row>
    <row r="7" spans="1:12" ht="22.8" x14ac:dyDescent="0.25">
      <c r="A7" s="10">
        <v>1</v>
      </c>
      <c r="B7" s="10" t="s">
        <v>236</v>
      </c>
      <c r="C7" s="1" t="s">
        <v>75</v>
      </c>
      <c r="D7" s="1" t="s">
        <v>112</v>
      </c>
      <c r="E7" s="16">
        <v>40</v>
      </c>
      <c r="F7" s="1" t="s">
        <v>61</v>
      </c>
      <c r="G7" s="4">
        <v>0</v>
      </c>
      <c r="H7" s="4">
        <v>18500</v>
      </c>
      <c r="I7" s="4">
        <f>E7*G7</f>
        <v>0</v>
      </c>
      <c r="J7" s="4">
        <f>E7*H7</f>
        <v>740000</v>
      </c>
      <c r="K7" s="21" t="s">
        <v>237</v>
      </c>
    </row>
    <row r="8" spans="1:12" ht="45.6" x14ac:dyDescent="0.25">
      <c r="A8" s="10">
        <f>A7+1</f>
        <v>2</v>
      </c>
      <c r="B8" s="10" t="s">
        <v>236</v>
      </c>
      <c r="C8" s="1" t="s">
        <v>76</v>
      </c>
      <c r="D8" s="1" t="s">
        <v>60</v>
      </c>
      <c r="E8" s="16">
        <v>24</v>
      </c>
      <c r="F8" s="1" t="s">
        <v>61</v>
      </c>
      <c r="G8" s="4">
        <v>0</v>
      </c>
      <c r="H8" s="4">
        <v>20000</v>
      </c>
      <c r="I8" s="4">
        <f>E8*G8</f>
        <v>0</v>
      </c>
      <c r="J8" s="4">
        <f>E8*H8</f>
        <v>480000</v>
      </c>
      <c r="K8" s="21" t="s">
        <v>238</v>
      </c>
    </row>
    <row r="9" spans="1:12" ht="12" thickBot="1" x14ac:dyDescent="0.3">
      <c r="A9" s="11"/>
      <c r="B9" s="11"/>
      <c r="C9" s="5"/>
      <c r="D9" s="5"/>
      <c r="E9" s="17"/>
      <c r="F9" s="5"/>
      <c r="G9" s="6"/>
      <c r="H9" s="6"/>
      <c r="I9" s="6"/>
      <c r="J9" s="6"/>
    </row>
    <row r="10" spans="1:12" ht="12.6" thickTop="1" x14ac:dyDescent="0.25">
      <c r="D10" s="2" t="s">
        <v>248</v>
      </c>
      <c r="E10" s="18"/>
      <c r="F10" s="2"/>
      <c r="G10" s="3"/>
      <c r="H10" s="3"/>
      <c r="I10" s="3">
        <f>SUM(I7:I9)</f>
        <v>0</v>
      </c>
      <c r="J10" s="3">
        <f>SUM(J7:J9)</f>
        <v>1220000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9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+SUMIF($B6:$B8,$F3,$I6:$I8)</f>
        <v>0</v>
      </c>
      <c r="J3" s="37">
        <f>+SUMIF($B6:$B8,$F3,$J6:$J8)</f>
        <v>0</v>
      </c>
    </row>
    <row r="4" spans="1:11" ht="12" x14ac:dyDescent="0.25">
      <c r="F4" s="1" t="s">
        <v>395</v>
      </c>
      <c r="G4" s="35" t="s">
        <v>450</v>
      </c>
      <c r="H4" s="36"/>
      <c r="I4" s="37">
        <f>+SUMIF($B7:$B9,$F4,$I7:$I9)</f>
        <v>34250</v>
      </c>
      <c r="J4" s="37">
        <f>+SUMIF($B7:$B9,$F4,$J7:$J9)</f>
        <v>49000</v>
      </c>
    </row>
    <row r="6" spans="1:11" ht="12" x14ac:dyDescent="0.25">
      <c r="D6" s="2" t="s">
        <v>418</v>
      </c>
    </row>
    <row r="7" spans="1:11" ht="22.8" x14ac:dyDescent="0.25">
      <c r="A7" s="10">
        <v>1</v>
      </c>
      <c r="B7" s="10" t="s">
        <v>395</v>
      </c>
      <c r="C7" s="1" t="s">
        <v>11</v>
      </c>
      <c r="D7" s="1" t="s">
        <v>417</v>
      </c>
      <c r="E7" s="16">
        <v>5</v>
      </c>
      <c r="F7" s="1" t="s">
        <v>122</v>
      </c>
      <c r="G7" s="4">
        <v>6850</v>
      </c>
      <c r="H7" s="4">
        <v>9800</v>
      </c>
      <c r="I7" s="4">
        <f t="shared" ref="I7" si="0">E7*G7</f>
        <v>34250</v>
      </c>
      <c r="J7" s="4">
        <f t="shared" ref="J7" si="1">E7*H7</f>
        <v>49000</v>
      </c>
    </row>
    <row r="8" spans="1:11" ht="12" thickBot="1" x14ac:dyDescent="0.3">
      <c r="A8" s="11"/>
      <c r="B8" s="11"/>
      <c r="C8" s="5"/>
      <c r="D8" s="5"/>
      <c r="E8" s="17"/>
      <c r="F8" s="5"/>
      <c r="G8" s="6"/>
      <c r="H8" s="6"/>
      <c r="I8" s="6"/>
      <c r="J8" s="6"/>
    </row>
    <row r="9" spans="1:11" ht="12.6" thickTop="1" x14ac:dyDescent="0.25">
      <c r="D9" s="2" t="s">
        <v>419</v>
      </c>
      <c r="E9" s="18"/>
      <c r="F9" s="2"/>
      <c r="G9" s="3"/>
      <c r="H9" s="3"/>
      <c r="I9" s="3">
        <f>SUM(I7:I8)</f>
        <v>34250</v>
      </c>
      <c r="J9" s="3">
        <f>SUM(J7:J8)</f>
        <v>49000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15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+SUMIF($B6:$B14,$F3,$I6:$I14)</f>
        <v>69384</v>
      </c>
      <c r="J3" s="37">
        <f>+SUMIF($B6:$B14,$F3,$J6:$J914)</f>
        <v>101185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+SUMIF($B7:$B15,$F4,$I7:$I15)</f>
        <v>2659277</v>
      </c>
      <c r="J4" s="37">
        <f>+SUMIF($B7:$B15,$F4,$J7:$J915)</f>
        <v>4705085</v>
      </c>
    </row>
    <row r="6" spans="1:11" ht="12" x14ac:dyDescent="0.25">
      <c r="D6" s="2" t="s">
        <v>16</v>
      </c>
    </row>
    <row r="7" spans="1:11" ht="45.6" x14ac:dyDescent="0.25">
      <c r="A7" s="10">
        <v>1</v>
      </c>
      <c r="B7" s="10" t="s">
        <v>395</v>
      </c>
      <c r="C7" s="1" t="s">
        <v>194</v>
      </c>
      <c r="D7" s="1" t="s">
        <v>224</v>
      </c>
      <c r="E7" s="16">
        <f>352+1274</f>
        <v>1626</v>
      </c>
      <c r="F7" s="1" t="s">
        <v>151</v>
      </c>
      <c r="G7" s="4">
        <v>280</v>
      </c>
      <c r="H7" s="4">
        <v>400</v>
      </c>
      <c r="I7" s="4">
        <f>E7*G7</f>
        <v>455280</v>
      </c>
      <c r="J7" s="4">
        <f>E7*H7</f>
        <v>650400</v>
      </c>
    </row>
    <row r="8" spans="1:11" ht="57" x14ac:dyDescent="0.25">
      <c r="A8" s="10">
        <f>A7+1</f>
        <v>2</v>
      </c>
      <c r="B8" s="10" t="s">
        <v>395</v>
      </c>
      <c r="C8" s="1" t="s">
        <v>13</v>
      </c>
      <c r="D8" s="1" t="s">
        <v>423</v>
      </c>
      <c r="E8" s="16">
        <f>E7-(E9+E13)-296.3</f>
        <v>977.7</v>
      </c>
      <c r="F8" s="1" t="s">
        <v>151</v>
      </c>
      <c r="G8" s="4">
        <v>780</v>
      </c>
      <c r="H8" s="4">
        <v>1500</v>
      </c>
      <c r="I8" s="4">
        <f t="shared" ref="I8:I9" si="0">E8*G8</f>
        <v>762606</v>
      </c>
      <c r="J8" s="4">
        <f t="shared" ref="J8:J9" si="1">E8*H8</f>
        <v>1466550</v>
      </c>
    </row>
    <row r="9" spans="1:11" ht="68.400000000000006" x14ac:dyDescent="0.25">
      <c r="A9" s="10">
        <f t="shared" ref="A9:A11" si="2">A8+1</f>
        <v>3</v>
      </c>
      <c r="B9" s="10" t="s">
        <v>395</v>
      </c>
      <c r="C9" s="1" t="s">
        <v>227</v>
      </c>
      <c r="D9" s="1" t="s">
        <v>424</v>
      </c>
      <c r="E9" s="16">
        <f>3*3.6</f>
        <v>10.8</v>
      </c>
      <c r="F9" s="1" t="s">
        <v>151</v>
      </c>
      <c r="G9" s="4">
        <v>780</v>
      </c>
      <c r="H9" s="4">
        <v>1500</v>
      </c>
      <c r="I9" s="4">
        <f t="shared" si="0"/>
        <v>8424</v>
      </c>
      <c r="J9" s="4">
        <f t="shared" si="1"/>
        <v>16200.000000000002</v>
      </c>
    </row>
    <row r="10" spans="1:11" ht="45.6" x14ac:dyDescent="0.25">
      <c r="A10" s="10">
        <f t="shared" si="2"/>
        <v>4</v>
      </c>
      <c r="B10" s="10" t="s">
        <v>395</v>
      </c>
      <c r="C10" s="1" t="s">
        <v>14</v>
      </c>
      <c r="D10" s="1" t="s">
        <v>225</v>
      </c>
      <c r="E10" s="16">
        <f>E8+E9+E13</f>
        <v>1329.7</v>
      </c>
      <c r="F10" s="1" t="s">
        <v>151</v>
      </c>
      <c r="G10" s="4">
        <v>750</v>
      </c>
      <c r="H10" s="4">
        <v>1350</v>
      </c>
      <c r="I10" s="4">
        <f t="shared" ref="I10:I11" si="3">E10*G10</f>
        <v>997275</v>
      </c>
      <c r="J10" s="4">
        <f t="shared" ref="J10:J11" si="4">E10*H10</f>
        <v>1795095</v>
      </c>
    </row>
    <row r="11" spans="1:11" ht="34.200000000000003" x14ac:dyDescent="0.25">
      <c r="A11" s="10">
        <f t="shared" si="2"/>
        <v>5</v>
      </c>
      <c r="B11" s="10" t="s">
        <v>236</v>
      </c>
      <c r="C11" s="1" t="s">
        <v>15</v>
      </c>
      <c r="D11" s="1" t="s">
        <v>196</v>
      </c>
      <c r="E11" s="16">
        <f>107.7-E12</f>
        <v>41.3</v>
      </c>
      <c r="F11" s="1" t="s">
        <v>151</v>
      </c>
      <c r="G11" s="4">
        <v>1680</v>
      </c>
      <c r="H11" s="4">
        <v>2450</v>
      </c>
      <c r="I11" s="4">
        <f t="shared" si="3"/>
        <v>69384</v>
      </c>
      <c r="J11" s="4">
        <f t="shared" si="4"/>
        <v>101185</v>
      </c>
    </row>
    <row r="12" spans="1:11" ht="34.200000000000003" x14ac:dyDescent="0.25">
      <c r="B12" s="10" t="s">
        <v>395</v>
      </c>
      <c r="C12" s="1" t="s">
        <v>15</v>
      </c>
      <c r="D12" s="1" t="s">
        <v>196</v>
      </c>
      <c r="E12" s="16">
        <v>66.400000000000006</v>
      </c>
      <c r="F12" s="1" t="s">
        <v>151</v>
      </c>
      <c r="G12" s="4">
        <v>1680</v>
      </c>
      <c r="H12" s="4">
        <v>2450</v>
      </c>
      <c r="I12" s="4">
        <f t="shared" ref="I12" si="5">E12*G12</f>
        <v>111552.00000000001</v>
      </c>
      <c r="J12" s="4">
        <f t="shared" ref="J12" si="6">E12*H12</f>
        <v>162680</v>
      </c>
    </row>
    <row r="13" spans="1:11" ht="68.400000000000006" x14ac:dyDescent="0.25">
      <c r="A13" s="10">
        <f>A11+1</f>
        <v>6</v>
      </c>
      <c r="B13" s="10" t="s">
        <v>395</v>
      </c>
      <c r="C13" s="1" t="s">
        <v>195</v>
      </c>
      <c r="D13" s="1" t="s">
        <v>226</v>
      </c>
      <c r="E13" s="16">
        <f>352-E9</f>
        <v>341.2</v>
      </c>
      <c r="F13" s="1" t="s">
        <v>151</v>
      </c>
      <c r="G13" s="4">
        <v>950</v>
      </c>
      <c r="H13" s="4">
        <v>1800</v>
      </c>
      <c r="I13" s="4">
        <f>E13*G13</f>
        <v>324140</v>
      </c>
      <c r="J13" s="4">
        <f>E13*H13</f>
        <v>614160</v>
      </c>
    </row>
    <row r="14" spans="1:11" ht="12" thickBot="1" x14ac:dyDescent="0.3">
      <c r="A14" s="11"/>
      <c r="B14" s="11"/>
      <c r="C14" s="5"/>
      <c r="D14" s="5"/>
      <c r="E14" s="17"/>
      <c r="F14" s="5"/>
      <c r="G14" s="6"/>
      <c r="H14" s="6"/>
      <c r="I14" s="6"/>
      <c r="J14" s="6"/>
    </row>
    <row r="15" spans="1:11" ht="12.6" thickTop="1" x14ac:dyDescent="0.25">
      <c r="D15" s="2" t="s">
        <v>422</v>
      </c>
      <c r="E15" s="18"/>
      <c r="F15" s="2"/>
      <c r="G15" s="3"/>
      <c r="H15" s="3"/>
      <c r="I15" s="3">
        <f>SUM(I7:I14)</f>
        <v>2728661</v>
      </c>
      <c r="J15" s="3">
        <f>SUM(J7:J14)</f>
        <v>4806270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12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+SUMIF($B6:$B11,$F3,$I6:$I11)</f>
        <v>487582.64999999997</v>
      </c>
      <c r="J3" s="37">
        <f>+SUMIF($B6:$B11,$F3,$J6:$J11)</f>
        <v>641100.9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+SUMIF($B7:$B12,$F4,$I7:$I12)</f>
        <v>0</v>
      </c>
      <c r="J4" s="37">
        <f>+SUMIF($B7:$B12,$F4,$J7:$J12)</f>
        <v>0</v>
      </c>
    </row>
    <row r="6" spans="1:11" ht="12" x14ac:dyDescent="0.25">
      <c r="D6" s="2" t="s">
        <v>427</v>
      </c>
    </row>
    <row r="7" spans="1:11" ht="34.200000000000003" x14ac:dyDescent="0.25">
      <c r="A7" s="10">
        <v>1</v>
      </c>
      <c r="B7" s="10" t="s">
        <v>236</v>
      </c>
      <c r="C7" s="1" t="s">
        <v>28</v>
      </c>
      <c r="D7" s="1" t="s">
        <v>425</v>
      </c>
      <c r="E7" s="16">
        <v>173.13</v>
      </c>
      <c r="F7" s="1" t="s">
        <v>151</v>
      </c>
      <c r="G7" s="4">
        <v>1780</v>
      </c>
      <c r="H7" s="4">
        <v>2100</v>
      </c>
      <c r="I7" s="4">
        <f t="shared" ref="I7:I10" si="0">E7*G7</f>
        <v>308171.39999999997</v>
      </c>
      <c r="J7" s="4">
        <f t="shared" ref="J7:J10" si="1">E7*H7</f>
        <v>363573</v>
      </c>
    </row>
    <row r="8" spans="1:11" ht="34.200000000000003" x14ac:dyDescent="0.25">
      <c r="A8" s="10">
        <f>A7+1</f>
        <v>2</v>
      </c>
      <c r="B8" s="10" t="s">
        <v>236</v>
      </c>
      <c r="C8" s="1" t="s">
        <v>29</v>
      </c>
      <c r="D8" s="1" t="s">
        <v>426</v>
      </c>
      <c r="E8" s="16">
        <f>68.5*0.3</f>
        <v>20.55</v>
      </c>
      <c r="F8" s="1" t="s">
        <v>151</v>
      </c>
      <c r="G8" s="4">
        <v>1780</v>
      </c>
      <c r="H8" s="4">
        <v>2300</v>
      </c>
      <c r="I8" s="4">
        <f t="shared" si="0"/>
        <v>36579</v>
      </c>
      <c r="J8" s="4">
        <f t="shared" si="1"/>
        <v>47265</v>
      </c>
    </row>
    <row r="9" spans="1:11" ht="22.8" x14ac:dyDescent="0.25">
      <c r="A9" s="10">
        <f t="shared" ref="A9:A10" si="2">A8+1</f>
        <v>3</v>
      </c>
      <c r="B9" s="10" t="s">
        <v>236</v>
      </c>
      <c r="C9" s="1" t="s">
        <v>30</v>
      </c>
      <c r="D9" s="1" t="s">
        <v>31</v>
      </c>
      <c r="E9" s="16">
        <v>173.13</v>
      </c>
      <c r="F9" s="1" t="s">
        <v>151</v>
      </c>
      <c r="G9" s="4">
        <v>75</v>
      </c>
      <c r="H9" s="4">
        <v>350</v>
      </c>
      <c r="I9" s="4">
        <f t="shared" si="0"/>
        <v>12984.75</v>
      </c>
      <c r="J9" s="4">
        <f t="shared" si="1"/>
        <v>60595.5</v>
      </c>
    </row>
    <row r="10" spans="1:11" ht="22.8" x14ac:dyDescent="0.25">
      <c r="A10" s="10">
        <f t="shared" si="2"/>
        <v>4</v>
      </c>
      <c r="B10" s="10" t="s">
        <v>236</v>
      </c>
      <c r="C10" s="1" t="s">
        <v>33</v>
      </c>
      <c r="D10" s="1" t="s">
        <v>34</v>
      </c>
      <c r="E10" s="16">
        <v>173.13</v>
      </c>
      <c r="F10" s="1" t="s">
        <v>151</v>
      </c>
      <c r="G10" s="4">
        <v>750</v>
      </c>
      <c r="H10" s="4">
        <v>980</v>
      </c>
      <c r="I10" s="4">
        <f t="shared" si="0"/>
        <v>129847.5</v>
      </c>
      <c r="J10" s="4">
        <f t="shared" si="1"/>
        <v>169667.4</v>
      </c>
    </row>
    <row r="11" spans="1:11" ht="12" thickBot="1" x14ac:dyDescent="0.3">
      <c r="A11" s="11"/>
      <c r="B11" s="11"/>
      <c r="C11" s="5"/>
      <c r="D11" s="5"/>
      <c r="E11" s="17"/>
      <c r="F11" s="5"/>
      <c r="G11" s="6"/>
      <c r="H11" s="6"/>
      <c r="I11" s="6"/>
      <c r="J11" s="6"/>
    </row>
    <row r="12" spans="1:11" ht="12.6" thickTop="1" x14ac:dyDescent="0.25">
      <c r="D12" s="2" t="s">
        <v>428</v>
      </c>
      <c r="E12" s="18"/>
      <c r="F12" s="2"/>
      <c r="G12" s="3"/>
      <c r="H12" s="3"/>
      <c r="I12" s="3">
        <f>SUM(I7:I11)</f>
        <v>487582.64999999997</v>
      </c>
      <c r="J12" s="3">
        <f>SUM(J7:J11)</f>
        <v>641100.9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10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+SUMIF($B6:$B9,$F3,$I6:$I9)</f>
        <v>0</v>
      </c>
      <c r="J3" s="37">
        <f>+SUMIF($B6:$B9,$F3,$J6:$J9)</f>
        <v>0</v>
      </c>
    </row>
    <row r="4" spans="1:11" ht="12" x14ac:dyDescent="0.25">
      <c r="F4" s="1" t="s">
        <v>395</v>
      </c>
      <c r="G4" s="35" t="s">
        <v>450</v>
      </c>
      <c r="H4" s="36"/>
      <c r="I4" s="37">
        <f>+SUMIF($B6:$B10,$F4,$I6:$I10)</f>
        <v>838790</v>
      </c>
      <c r="J4" s="37">
        <f>+SUMIF($B6:$B10,$F4,$J6:$J10)</f>
        <v>968350</v>
      </c>
    </row>
    <row r="6" spans="1:11" ht="12" x14ac:dyDescent="0.25">
      <c r="D6" s="2" t="s">
        <v>169</v>
      </c>
    </row>
    <row r="7" spans="1:11" ht="68.400000000000006" x14ac:dyDescent="0.25">
      <c r="A7" s="10">
        <v>1</v>
      </c>
      <c r="B7" s="10" t="s">
        <v>395</v>
      </c>
      <c r="C7" s="1" t="s">
        <v>32</v>
      </c>
      <c r="D7" s="1" t="s">
        <v>429</v>
      </c>
      <c r="E7" s="16">
        <v>192.5</v>
      </c>
      <c r="F7" s="1" t="s">
        <v>151</v>
      </c>
      <c r="G7" s="4">
        <v>3250</v>
      </c>
      <c r="H7" s="4">
        <v>3800</v>
      </c>
      <c r="I7" s="4">
        <f>E7*G7</f>
        <v>625625</v>
      </c>
      <c r="J7" s="4">
        <f>E7*H7</f>
        <v>731500</v>
      </c>
      <c r="K7" s="21" t="s">
        <v>433</v>
      </c>
    </row>
    <row r="8" spans="1:11" ht="22.8" x14ac:dyDescent="0.25">
      <c r="A8" s="10">
        <f>A7+1</f>
        <v>2</v>
      </c>
      <c r="B8" s="10" t="s">
        <v>395</v>
      </c>
      <c r="C8" s="1" t="s">
        <v>0</v>
      </c>
      <c r="D8" s="1" t="s">
        <v>431</v>
      </c>
      <c r="E8" s="16">
        <v>157.9</v>
      </c>
      <c r="F8" s="1" t="s">
        <v>122</v>
      </c>
      <c r="G8" s="4">
        <v>1350</v>
      </c>
      <c r="H8" s="4">
        <v>1500</v>
      </c>
      <c r="I8" s="4">
        <f>E8*G8</f>
        <v>213165</v>
      </c>
      <c r="J8" s="4">
        <f>E8*H8</f>
        <v>236850</v>
      </c>
      <c r="K8" s="21" t="s">
        <v>430</v>
      </c>
    </row>
    <row r="9" spans="1:11" ht="12" thickBot="1" x14ac:dyDescent="0.3">
      <c r="A9" s="11"/>
      <c r="B9" s="11"/>
      <c r="C9" s="5"/>
      <c r="D9" s="5"/>
      <c r="E9" s="17"/>
      <c r="F9" s="5"/>
      <c r="G9" s="6"/>
      <c r="H9" s="6"/>
      <c r="I9" s="6"/>
      <c r="J9" s="6"/>
    </row>
    <row r="10" spans="1:11" ht="24.6" thickTop="1" x14ac:dyDescent="0.25">
      <c r="D10" s="2" t="s">
        <v>432</v>
      </c>
      <c r="E10" s="18"/>
      <c r="F10" s="2"/>
      <c r="G10" s="3"/>
      <c r="H10" s="3"/>
      <c r="I10" s="3">
        <f>SUM(I7:I9)</f>
        <v>838790</v>
      </c>
      <c r="J10" s="3">
        <f>SUM(J7:J9)</f>
        <v>968350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9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+SUMIF($B6:$B8,$F3,$I6:$I8)</f>
        <v>174006</v>
      </c>
      <c r="J3" s="37">
        <f>+SUMIF($B6:$B8,$F3,$J6:$J8)</f>
        <v>154672</v>
      </c>
    </row>
    <row r="4" spans="1:11" ht="12" x14ac:dyDescent="0.25">
      <c r="F4" s="1" t="s">
        <v>395</v>
      </c>
      <c r="G4" s="35" t="s">
        <v>450</v>
      </c>
      <c r="H4" s="36"/>
      <c r="I4" s="37">
        <f>+SUMIF($B7:$B9,$F4,$I7:$I9)</f>
        <v>0</v>
      </c>
      <c r="J4" s="37">
        <f>+SUMIF($B7:$B9,$F4,$J7:$J9)</f>
        <v>0</v>
      </c>
    </row>
    <row r="6" spans="1:11" ht="12" x14ac:dyDescent="0.25">
      <c r="D6" s="2" t="s">
        <v>170</v>
      </c>
    </row>
    <row r="7" spans="1:11" ht="45.6" x14ac:dyDescent="0.25">
      <c r="A7" s="10">
        <v>1</v>
      </c>
      <c r="B7" s="10" t="s">
        <v>236</v>
      </c>
      <c r="C7" s="1" t="s">
        <v>57</v>
      </c>
      <c r="D7" s="1" t="s">
        <v>189</v>
      </c>
      <c r="E7" s="16">
        <f>(14*0.3*2.9+2*0.3*2.9)*2+68.5*2*0.2</f>
        <v>55.24</v>
      </c>
      <c r="F7" s="1" t="s">
        <v>151</v>
      </c>
      <c r="G7" s="4">
        <v>3150</v>
      </c>
      <c r="H7" s="4">
        <v>2800</v>
      </c>
      <c r="I7" s="4">
        <f t="shared" ref="I7" si="0">E7*G7</f>
        <v>174006</v>
      </c>
      <c r="J7" s="4">
        <f t="shared" ref="J7" si="1">E7*H7</f>
        <v>154672</v>
      </c>
      <c r="K7" s="21" t="s">
        <v>435</v>
      </c>
    </row>
    <row r="8" spans="1:11" ht="12" thickBot="1" x14ac:dyDescent="0.3">
      <c r="A8" s="11"/>
      <c r="B8" s="11"/>
      <c r="C8" s="5"/>
      <c r="D8" s="5"/>
      <c r="E8" s="17"/>
      <c r="F8" s="5"/>
      <c r="G8" s="6"/>
      <c r="H8" s="6"/>
      <c r="I8" s="6"/>
      <c r="J8" s="6"/>
    </row>
    <row r="9" spans="1:11" ht="12.6" thickTop="1" x14ac:dyDescent="0.25">
      <c r="D9" s="2" t="s">
        <v>434</v>
      </c>
      <c r="E9" s="18"/>
      <c r="F9" s="2"/>
      <c r="G9" s="3"/>
      <c r="H9" s="3"/>
      <c r="I9" s="3">
        <f>SUM(I7:I8)</f>
        <v>174006</v>
      </c>
      <c r="J9" s="3">
        <f>SUM(J7:J8)</f>
        <v>154672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14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+SUMIF($B7:$B13,$F3,$I7:$I13)</f>
        <v>2310388.9</v>
      </c>
      <c r="J3" s="37">
        <f>+SUMIF($B7:$B13,$F3,$J7:$J13)</f>
        <v>1270053.5</v>
      </c>
    </row>
    <row r="4" spans="1:11" ht="12" x14ac:dyDescent="0.25">
      <c r="F4" s="1" t="s">
        <v>395</v>
      </c>
      <c r="G4" s="35" t="s">
        <v>450</v>
      </c>
      <c r="H4" s="36"/>
      <c r="I4" s="37">
        <f>+SUMIF($B8:$B14,$F4,$I8:$I14)</f>
        <v>0</v>
      </c>
      <c r="J4" s="37">
        <f>+SUMIF($B8:$B14,$F4,$J8:$J14)</f>
        <v>0</v>
      </c>
    </row>
    <row r="6" spans="1:11" ht="12" x14ac:dyDescent="0.25">
      <c r="D6" s="2" t="s">
        <v>176</v>
      </c>
    </row>
    <row r="7" spans="1:11" ht="57" x14ac:dyDescent="0.25">
      <c r="A7" s="10">
        <v>1</v>
      </c>
      <c r="B7" s="10" t="s">
        <v>236</v>
      </c>
      <c r="C7" s="1" t="s">
        <v>74</v>
      </c>
      <c r="D7" s="1" t="s">
        <v>177</v>
      </c>
      <c r="E7" s="16">
        <v>453</v>
      </c>
      <c r="F7" s="1" t="s">
        <v>122</v>
      </c>
      <c r="G7" s="4">
        <v>350</v>
      </c>
      <c r="H7" s="4">
        <v>300</v>
      </c>
      <c r="I7" s="4">
        <f t="shared" ref="I7" si="0">E7*G7</f>
        <v>158550</v>
      </c>
      <c r="J7" s="4">
        <f t="shared" ref="J7" si="1">E7*H7</f>
        <v>135900</v>
      </c>
    </row>
    <row r="8" spans="1:11" ht="45.6" x14ac:dyDescent="0.25">
      <c r="A8" s="10">
        <f>A7+1</f>
        <v>2</v>
      </c>
      <c r="B8" s="10" t="s">
        <v>236</v>
      </c>
      <c r="C8" s="1" t="s">
        <v>436</v>
      </c>
      <c r="D8" s="1" t="s">
        <v>440</v>
      </c>
      <c r="E8" s="16">
        <v>179</v>
      </c>
      <c r="F8" s="1" t="s">
        <v>151</v>
      </c>
      <c r="G8" s="4">
        <v>1920</v>
      </c>
      <c r="H8" s="4">
        <v>750</v>
      </c>
      <c r="I8" s="4">
        <f t="shared" ref="I8:I9" si="2">E8*G8</f>
        <v>343680</v>
      </c>
      <c r="J8" s="4">
        <f t="shared" ref="J8:J9" si="3">E8*H8</f>
        <v>134250</v>
      </c>
    </row>
    <row r="9" spans="1:11" ht="45.6" x14ac:dyDescent="0.25">
      <c r="A9" s="10">
        <f t="shared" ref="A9:A12" si="4">A8+1</f>
        <v>3</v>
      </c>
      <c r="B9" s="10" t="s">
        <v>236</v>
      </c>
      <c r="C9" s="1" t="s">
        <v>37</v>
      </c>
      <c r="D9" s="1" t="s">
        <v>437</v>
      </c>
      <c r="E9" s="16">
        <v>173.13</v>
      </c>
      <c r="F9" s="1" t="s">
        <v>151</v>
      </c>
      <c r="G9" s="4">
        <v>4380</v>
      </c>
      <c r="H9" s="4">
        <v>1250</v>
      </c>
      <c r="I9" s="4">
        <f t="shared" si="2"/>
        <v>758309.4</v>
      </c>
      <c r="J9" s="4">
        <f t="shared" si="3"/>
        <v>216412.5</v>
      </c>
    </row>
    <row r="10" spans="1:11" ht="45.6" x14ac:dyDescent="0.25">
      <c r="A10" s="10">
        <f t="shared" si="4"/>
        <v>4</v>
      </c>
      <c r="B10" s="10" t="s">
        <v>236</v>
      </c>
      <c r="C10" s="1" t="s">
        <v>1</v>
      </c>
      <c r="D10" s="1" t="s">
        <v>438</v>
      </c>
      <c r="E10" s="16">
        <v>179</v>
      </c>
      <c r="F10" s="1" t="s">
        <v>151</v>
      </c>
      <c r="G10" s="4">
        <v>3540</v>
      </c>
      <c r="H10" s="4">
        <v>1850</v>
      </c>
      <c r="I10" s="4">
        <f t="shared" ref="I10:I12" si="5">E10*G10</f>
        <v>633660</v>
      </c>
      <c r="J10" s="4">
        <f t="shared" ref="J10:J12" si="6">E10*H10</f>
        <v>331150</v>
      </c>
    </row>
    <row r="11" spans="1:11" ht="45.6" x14ac:dyDescent="0.25">
      <c r="A11" s="10">
        <f t="shared" si="4"/>
        <v>5</v>
      </c>
      <c r="B11" s="10" t="s">
        <v>236</v>
      </c>
      <c r="C11" s="1" t="s">
        <v>2</v>
      </c>
      <c r="D11" s="1" t="s">
        <v>439</v>
      </c>
      <c r="E11" s="16">
        <v>179</v>
      </c>
      <c r="F11" s="1" t="s">
        <v>151</v>
      </c>
      <c r="G11" s="4">
        <v>2180</v>
      </c>
      <c r="H11" s="4">
        <v>1850</v>
      </c>
      <c r="I11" s="4">
        <f t="shared" si="5"/>
        <v>390220</v>
      </c>
      <c r="J11" s="4">
        <f t="shared" si="6"/>
        <v>331150</v>
      </c>
    </row>
    <row r="12" spans="1:11" ht="22.8" x14ac:dyDescent="0.25">
      <c r="A12" s="10">
        <f t="shared" si="4"/>
        <v>6</v>
      </c>
      <c r="B12" s="10" t="s">
        <v>236</v>
      </c>
      <c r="C12" s="1" t="s">
        <v>30</v>
      </c>
      <c r="D12" s="1" t="s">
        <v>31</v>
      </c>
      <c r="E12" s="16">
        <f>173.13*2</f>
        <v>346.26</v>
      </c>
      <c r="F12" s="1" t="s">
        <v>151</v>
      </c>
      <c r="G12" s="4">
        <v>75</v>
      </c>
      <c r="H12" s="4">
        <v>350</v>
      </c>
      <c r="I12" s="4">
        <f t="shared" si="5"/>
        <v>25969.5</v>
      </c>
      <c r="J12" s="4">
        <f t="shared" si="6"/>
        <v>121191</v>
      </c>
    </row>
    <row r="13" spans="1:11" ht="12" thickBot="1" x14ac:dyDescent="0.3">
      <c r="A13" s="11"/>
      <c r="B13" s="11"/>
      <c r="C13" s="5"/>
      <c r="D13" s="5"/>
      <c r="E13" s="17"/>
      <c r="F13" s="5"/>
      <c r="G13" s="6"/>
      <c r="H13" s="6"/>
      <c r="I13" s="6"/>
      <c r="J13" s="6"/>
    </row>
    <row r="14" spans="1:11" ht="12.6" thickTop="1" x14ac:dyDescent="0.25">
      <c r="D14" s="2" t="s">
        <v>457</v>
      </c>
      <c r="E14" s="18"/>
      <c r="F14" s="2"/>
      <c r="G14" s="3"/>
      <c r="H14" s="3"/>
      <c r="I14" s="3">
        <f>SUM(I7:I13)</f>
        <v>2310388.9</v>
      </c>
      <c r="J14" s="3">
        <f>SUM(J7:J13)</f>
        <v>1270053.5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12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+SUMIF($B6:$B11,$F3,$I6:$I11)</f>
        <v>0</v>
      </c>
      <c r="J3" s="37">
        <f>+SUMIF($B6:$B11,$F3,$J6:$J11)</f>
        <v>0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+SUMIF($B7:$B12,$F4,$I7:$I12)</f>
        <v>2590000</v>
      </c>
      <c r="J4" s="37">
        <f>+SUMIF($B7:$B12,$F4,$J7:$J12)</f>
        <v>642000</v>
      </c>
    </row>
    <row r="6" spans="1:11" ht="12" x14ac:dyDescent="0.25">
      <c r="D6" s="2" t="s">
        <v>197</v>
      </c>
    </row>
    <row r="7" spans="1:11" ht="34.200000000000003" x14ac:dyDescent="0.25">
      <c r="A7" s="10">
        <v>1</v>
      </c>
      <c r="B7" s="10" t="s">
        <v>395</v>
      </c>
      <c r="C7" s="1" t="s">
        <v>331</v>
      </c>
      <c r="D7" s="1" t="s">
        <v>332</v>
      </c>
      <c r="E7" s="16">
        <v>27</v>
      </c>
      <c r="F7" s="1" t="s">
        <v>152</v>
      </c>
      <c r="G7" s="4">
        <v>64500</v>
      </c>
      <c r="H7" s="4">
        <v>16000</v>
      </c>
      <c r="I7" s="4">
        <f t="shared" ref="I7" si="0">E7*G7</f>
        <v>1741500</v>
      </c>
      <c r="J7" s="4">
        <f t="shared" ref="J7" si="1">E7*H7</f>
        <v>432000</v>
      </c>
    </row>
    <row r="8" spans="1:11" ht="34.200000000000003" x14ac:dyDescent="0.25">
      <c r="A8" s="10">
        <f>A7+1</f>
        <v>2</v>
      </c>
      <c r="B8" s="10" t="s">
        <v>395</v>
      </c>
      <c r="C8" s="1" t="s">
        <v>6</v>
      </c>
      <c r="D8" s="1" t="s">
        <v>190</v>
      </c>
      <c r="E8" s="16">
        <v>10</v>
      </c>
      <c r="F8" s="1" t="s">
        <v>152</v>
      </c>
      <c r="G8" s="4">
        <v>64500</v>
      </c>
      <c r="H8" s="4">
        <v>16000</v>
      </c>
      <c r="I8" s="4">
        <f t="shared" ref="I8:I9" si="2">E8*G8</f>
        <v>645000</v>
      </c>
      <c r="J8" s="4">
        <f t="shared" ref="J8:J9" si="3">E8*H8</f>
        <v>160000</v>
      </c>
    </row>
    <row r="9" spans="1:11" ht="45.6" x14ac:dyDescent="0.25">
      <c r="A9" s="10">
        <f>A8+1</f>
        <v>3</v>
      </c>
      <c r="B9" s="10" t="s">
        <v>395</v>
      </c>
      <c r="C9" s="1" t="s">
        <v>333</v>
      </c>
      <c r="D9" s="1" t="s">
        <v>335</v>
      </c>
      <c r="E9" s="16">
        <v>1</v>
      </c>
      <c r="F9" s="1" t="s">
        <v>152</v>
      </c>
      <c r="G9" s="4">
        <v>68500</v>
      </c>
      <c r="H9" s="4">
        <v>16000</v>
      </c>
      <c r="I9" s="4">
        <f t="shared" si="2"/>
        <v>68500</v>
      </c>
      <c r="J9" s="4">
        <f t="shared" si="3"/>
        <v>16000</v>
      </c>
    </row>
    <row r="10" spans="1:11" ht="45.6" x14ac:dyDescent="0.25">
      <c r="A10" s="10">
        <f>A9+1</f>
        <v>4</v>
      </c>
      <c r="B10" s="10" t="s">
        <v>395</v>
      </c>
      <c r="D10" s="1" t="s">
        <v>334</v>
      </c>
      <c r="E10" s="16">
        <v>1</v>
      </c>
      <c r="F10" s="1" t="s">
        <v>152</v>
      </c>
      <c r="G10" s="4">
        <v>135000</v>
      </c>
      <c r="H10" s="4">
        <v>34000</v>
      </c>
      <c r="I10" s="4">
        <f t="shared" ref="I10" si="4">E10*G10</f>
        <v>135000</v>
      </c>
      <c r="J10" s="4">
        <f t="shared" ref="J10" si="5">E10*H10</f>
        <v>34000</v>
      </c>
    </row>
    <row r="11" spans="1:11" ht="12" thickBot="1" x14ac:dyDescent="0.3">
      <c r="A11" s="11"/>
      <c r="B11" s="11"/>
      <c r="C11" s="5"/>
      <c r="D11" s="5"/>
      <c r="E11" s="17"/>
      <c r="F11" s="5"/>
      <c r="G11" s="6"/>
      <c r="H11" s="6"/>
      <c r="I11" s="6"/>
      <c r="J11" s="6"/>
    </row>
    <row r="12" spans="1:11" ht="12.6" thickTop="1" x14ac:dyDescent="0.25">
      <c r="D12" s="2" t="s">
        <v>336</v>
      </c>
      <c r="E12" s="18"/>
      <c r="F12" s="2"/>
      <c r="G12" s="3"/>
      <c r="H12" s="3"/>
      <c r="I12" s="3">
        <f>SUM(I7:I11)</f>
        <v>2590000</v>
      </c>
      <c r="J12" s="3">
        <f>SUM(J7:J11)</f>
        <v>642000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15"/>
  <sheetViews>
    <sheetView view="pageBreakPreview" topLeftCell="A10" zoomScaleNormal="100" zoomScaleSheetLayoutView="100" workbookViewId="0">
      <selection activeCell="I13" sqref="I13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+SUMIF($B6:$B14,$F3,$I6:$I14)</f>
        <v>3505300</v>
      </c>
      <c r="J3" s="37">
        <f>+SUMIF($B6:$B14,$F3,$J6:$J14)</f>
        <v>502700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+SUMIF($B7:$B15,$F4,$I7:$I15)</f>
        <v>0</v>
      </c>
      <c r="J4" s="37">
        <f>+SUMIF($B7:$B15,$F4,$J7:$J15)</f>
        <v>0</v>
      </c>
    </row>
    <row r="6" spans="1:11" ht="12" x14ac:dyDescent="0.25">
      <c r="D6" s="2" t="s">
        <v>198</v>
      </c>
    </row>
    <row r="7" spans="1:11" ht="68.400000000000006" x14ac:dyDescent="0.25">
      <c r="A7" s="10">
        <v>1</v>
      </c>
      <c r="B7" s="10" t="s">
        <v>236</v>
      </c>
      <c r="C7" s="1" t="s">
        <v>8</v>
      </c>
      <c r="D7" s="1" t="s">
        <v>399</v>
      </c>
      <c r="E7" s="16">
        <v>30</v>
      </c>
      <c r="F7" s="1" t="s">
        <v>152</v>
      </c>
      <c r="G7" s="4">
        <v>54000</v>
      </c>
      <c r="H7" s="4">
        <v>7400</v>
      </c>
      <c r="I7" s="4">
        <f t="shared" ref="I7:I10" si="0">E7*G7</f>
        <v>1620000</v>
      </c>
      <c r="J7" s="4">
        <f t="shared" ref="J7:J10" si="1">E7*H7</f>
        <v>222000</v>
      </c>
    </row>
    <row r="8" spans="1:11" ht="68.400000000000006" x14ac:dyDescent="0.25">
      <c r="A8" s="10">
        <f t="shared" ref="A8:A13" si="2">A7+1</f>
        <v>2</v>
      </c>
      <c r="B8" s="10" t="s">
        <v>236</v>
      </c>
      <c r="C8" s="1" t="s">
        <v>9</v>
      </c>
      <c r="D8" s="1" t="s">
        <v>400</v>
      </c>
      <c r="E8" s="16">
        <v>1</v>
      </c>
      <c r="F8" s="1" t="s">
        <v>152</v>
      </c>
      <c r="G8" s="4">
        <v>64800</v>
      </c>
      <c r="H8" s="4">
        <v>9800</v>
      </c>
      <c r="I8" s="4">
        <f t="shared" si="0"/>
        <v>64800</v>
      </c>
      <c r="J8" s="4">
        <f t="shared" si="1"/>
        <v>9800</v>
      </c>
    </row>
    <row r="9" spans="1:11" ht="68.400000000000006" x14ac:dyDescent="0.25">
      <c r="A9" s="10">
        <f t="shared" si="2"/>
        <v>3</v>
      </c>
      <c r="B9" s="10" t="s">
        <v>236</v>
      </c>
      <c r="C9" s="1" t="s">
        <v>10</v>
      </c>
      <c r="D9" s="1" t="s">
        <v>401</v>
      </c>
      <c r="E9" s="16">
        <v>3</v>
      </c>
      <c r="F9" s="1" t="s">
        <v>152</v>
      </c>
      <c r="G9" s="4">
        <v>68500</v>
      </c>
      <c r="H9" s="4">
        <v>9800</v>
      </c>
      <c r="I9" s="4">
        <f t="shared" si="0"/>
        <v>205500</v>
      </c>
      <c r="J9" s="4">
        <f t="shared" si="1"/>
        <v>29400</v>
      </c>
    </row>
    <row r="10" spans="1:11" ht="68.400000000000006" x14ac:dyDescent="0.25">
      <c r="A10" s="10">
        <f t="shared" si="2"/>
        <v>4</v>
      </c>
      <c r="B10" s="10" t="s">
        <v>236</v>
      </c>
      <c r="C10" s="1" t="s">
        <v>17</v>
      </c>
      <c r="D10" s="1" t="s">
        <v>328</v>
      </c>
      <c r="E10" s="16">
        <v>2</v>
      </c>
      <c r="F10" s="1" t="s">
        <v>152</v>
      </c>
      <c r="G10" s="4">
        <v>198000</v>
      </c>
      <c r="H10" s="4">
        <v>31500</v>
      </c>
      <c r="I10" s="4">
        <f t="shared" si="0"/>
        <v>396000</v>
      </c>
      <c r="J10" s="4">
        <f t="shared" si="1"/>
        <v>63000</v>
      </c>
    </row>
    <row r="11" spans="1:11" ht="68.400000000000006" x14ac:dyDescent="0.25">
      <c r="A11" s="10">
        <f t="shared" si="2"/>
        <v>5</v>
      </c>
      <c r="B11" s="10" t="s">
        <v>236</v>
      </c>
      <c r="C11" s="1" t="s">
        <v>18</v>
      </c>
      <c r="D11" s="1" t="s">
        <v>329</v>
      </c>
      <c r="E11" s="16">
        <v>1</v>
      </c>
      <c r="F11" s="1" t="s">
        <v>152</v>
      </c>
      <c r="G11" s="4">
        <v>396000</v>
      </c>
      <c r="H11" s="4">
        <v>63000</v>
      </c>
      <c r="I11" s="4">
        <f>E11*G11</f>
        <v>396000</v>
      </c>
      <c r="J11" s="4">
        <f>E11*H11</f>
        <v>63000</v>
      </c>
    </row>
    <row r="12" spans="1:11" ht="68.400000000000006" x14ac:dyDescent="0.25">
      <c r="A12" s="10">
        <f t="shared" si="2"/>
        <v>6</v>
      </c>
      <c r="B12" s="10" t="s">
        <v>236</v>
      </c>
      <c r="C12" s="1" t="s">
        <v>19</v>
      </c>
      <c r="D12" s="1" t="s">
        <v>327</v>
      </c>
      <c r="E12" s="16">
        <v>1</v>
      </c>
      <c r="F12" s="1" t="s">
        <v>152</v>
      </c>
      <c r="G12" s="4">
        <v>187000</v>
      </c>
      <c r="H12" s="4">
        <v>31500</v>
      </c>
      <c r="I12" s="4">
        <f>E12*G12</f>
        <v>187000</v>
      </c>
      <c r="J12" s="4">
        <f>E12*H12</f>
        <v>31500</v>
      </c>
    </row>
    <row r="13" spans="1:11" ht="79.8" x14ac:dyDescent="0.25">
      <c r="A13" s="10">
        <f t="shared" si="2"/>
        <v>7</v>
      </c>
      <c r="B13" s="10" t="s">
        <v>236</v>
      </c>
      <c r="D13" s="1" t="s">
        <v>330</v>
      </c>
      <c r="E13" s="16">
        <v>1</v>
      </c>
      <c r="F13" s="1" t="s">
        <v>152</v>
      </c>
      <c r="G13" s="4">
        <f>396000+240000</f>
        <v>636000</v>
      </c>
      <c r="H13" s="4">
        <v>84000</v>
      </c>
      <c r="I13" s="4">
        <f>E13*G13</f>
        <v>636000</v>
      </c>
      <c r="J13" s="4">
        <f>E13*H13</f>
        <v>84000</v>
      </c>
    </row>
    <row r="14" spans="1:11" ht="12" thickBot="1" x14ac:dyDescent="0.3">
      <c r="A14" s="11"/>
      <c r="B14" s="11"/>
      <c r="C14" s="5"/>
      <c r="D14" s="5"/>
      <c r="E14" s="17"/>
      <c r="F14" s="5"/>
      <c r="G14" s="6"/>
      <c r="H14" s="6"/>
      <c r="I14" s="6"/>
      <c r="J14" s="6"/>
    </row>
    <row r="15" spans="1:11" ht="12.6" thickTop="1" x14ac:dyDescent="0.25">
      <c r="D15" s="2" t="s">
        <v>77</v>
      </c>
      <c r="E15" s="18"/>
      <c r="F15" s="2"/>
      <c r="G15" s="3"/>
      <c r="H15" s="3"/>
      <c r="I15" s="3">
        <f>SUM(I7:I14)</f>
        <v>3505300</v>
      </c>
      <c r="J15" s="3">
        <f>SUM(J7:J14)</f>
        <v>502700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K9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+SUMIF($B6:$B8,$F3,$I6:$I8)</f>
        <v>770000</v>
      </c>
      <c r="J3" s="37">
        <f>+SUMIF($B6:$B8,$F3,$J6:$J8)</f>
        <v>98000</v>
      </c>
    </row>
    <row r="4" spans="1:11" ht="12" x14ac:dyDescent="0.25">
      <c r="F4" s="1" t="s">
        <v>395</v>
      </c>
      <c r="G4" s="35" t="s">
        <v>450</v>
      </c>
      <c r="H4" s="36"/>
      <c r="I4" s="37">
        <f>+SUMIF($B7:$B9,$F4,$I7:$I9)</f>
        <v>0</v>
      </c>
      <c r="J4" s="37">
        <f>+SUMIF($B7:$B9,$F4,$J7:$J9)</f>
        <v>0</v>
      </c>
    </row>
    <row r="6" spans="1:11" ht="12" x14ac:dyDescent="0.25">
      <c r="D6" s="2" t="s">
        <v>325</v>
      </c>
    </row>
    <row r="7" spans="1:11" ht="45.6" x14ac:dyDescent="0.25">
      <c r="A7" s="10">
        <v>1</v>
      </c>
      <c r="B7" s="10" t="s">
        <v>236</v>
      </c>
      <c r="C7" s="1" t="s">
        <v>7</v>
      </c>
      <c r="D7" s="1" t="s">
        <v>324</v>
      </c>
      <c r="E7" s="16">
        <v>2</v>
      </c>
      <c r="F7" s="1" t="s">
        <v>152</v>
      </c>
      <c r="G7" s="4">
        <v>385000</v>
      </c>
      <c r="H7" s="4">
        <v>49000</v>
      </c>
      <c r="I7" s="4">
        <f>E7*G7</f>
        <v>770000</v>
      </c>
      <c r="J7" s="4">
        <f>E7*H7</f>
        <v>98000</v>
      </c>
    </row>
    <row r="8" spans="1:11" ht="12" thickBot="1" x14ac:dyDescent="0.3">
      <c r="A8" s="11"/>
      <c r="B8" s="11"/>
      <c r="C8" s="5"/>
      <c r="D8" s="5"/>
      <c r="E8" s="17"/>
      <c r="F8" s="5"/>
      <c r="G8" s="6"/>
      <c r="H8" s="6"/>
      <c r="I8" s="6"/>
      <c r="J8" s="6"/>
    </row>
    <row r="9" spans="1:11" ht="12.6" thickTop="1" x14ac:dyDescent="0.25">
      <c r="D9" s="2" t="s">
        <v>326</v>
      </c>
      <c r="E9" s="18"/>
      <c r="F9" s="2"/>
      <c r="G9" s="3"/>
      <c r="H9" s="3"/>
      <c r="I9" s="3">
        <f>SUM(I7:I8)</f>
        <v>770000</v>
      </c>
      <c r="J9" s="3">
        <f>SUM(J7:J8)</f>
        <v>98000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5"/>
  <sheetViews>
    <sheetView view="pageBreakPreview" topLeftCell="A19" zoomScaleNormal="100" zoomScaleSheetLayoutView="100" workbookViewId="0">
      <selection activeCell="F34" sqref="F34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6.6640625" style="1" customWidth="1"/>
    <col min="5" max="5" width="7.77734375" style="16" customWidth="1"/>
    <col min="6" max="6" width="10.77734375" style="1" customWidth="1"/>
    <col min="7" max="7" width="10.77734375" style="4" customWidth="1"/>
    <col min="8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2" spans="1:11" s="2" customFormat="1" ht="12" x14ac:dyDescent="0.25">
      <c r="A2" s="13"/>
      <c r="B2" s="13"/>
      <c r="E2" s="18"/>
      <c r="G2" s="3"/>
      <c r="H2" s="3"/>
      <c r="I2" s="3"/>
      <c r="J2" s="3"/>
      <c r="K2" s="24"/>
    </row>
    <row r="3" spans="1:11" s="2" customFormat="1" ht="12" x14ac:dyDescent="0.25">
      <c r="A3" s="13"/>
      <c r="B3" s="13"/>
      <c r="E3" s="18"/>
      <c r="F3" s="1" t="s">
        <v>236</v>
      </c>
      <c r="G3" s="35" t="s">
        <v>449</v>
      </c>
      <c r="H3" s="36"/>
      <c r="I3" s="37">
        <f>+SUMIF($B6:$B24,$F3,$I6:$I24)</f>
        <v>602500</v>
      </c>
      <c r="J3" s="37">
        <f>+SUMIF($B6:$B24,$F3,$J6:$J24)</f>
        <v>4326000</v>
      </c>
      <c r="K3" s="24"/>
    </row>
    <row r="4" spans="1:11" s="2" customFormat="1" ht="12" x14ac:dyDescent="0.25">
      <c r="A4" s="13"/>
      <c r="B4" s="13"/>
      <c r="E4" s="18"/>
      <c r="F4" s="1" t="s">
        <v>395</v>
      </c>
      <c r="G4" s="35" t="s">
        <v>450</v>
      </c>
      <c r="H4" s="36"/>
      <c r="I4" s="37">
        <f>+SUMIF($B7:$B25,$F4,$I7:$I25)</f>
        <v>222802.5</v>
      </c>
      <c r="J4" s="37">
        <f>+SUMIF($B7:$B25,$F4,$J7:$J25)</f>
        <v>1062745</v>
      </c>
      <c r="K4" s="24"/>
    </row>
    <row r="5" spans="1:11" s="2" customFormat="1" ht="12" x14ac:dyDescent="0.25">
      <c r="A5" s="13"/>
      <c r="B5" s="13"/>
      <c r="E5" s="18"/>
      <c r="G5" s="3"/>
      <c r="H5" s="3"/>
      <c r="I5" s="3"/>
      <c r="J5" s="3"/>
      <c r="K5" s="24"/>
    </row>
    <row r="6" spans="1:11" ht="13.2" customHeight="1" x14ac:dyDescent="0.25">
      <c r="D6" s="2" t="s">
        <v>249</v>
      </c>
    </row>
    <row r="7" spans="1:11" ht="22.8" x14ac:dyDescent="0.25">
      <c r="A7" s="10">
        <v>1</v>
      </c>
      <c r="B7" s="10" t="s">
        <v>236</v>
      </c>
      <c r="C7" s="1" t="s">
        <v>154</v>
      </c>
      <c r="D7" s="1" t="s">
        <v>155</v>
      </c>
      <c r="E7" s="16">
        <v>1</v>
      </c>
      <c r="F7" s="1" t="s">
        <v>152</v>
      </c>
      <c r="G7" s="4">
        <v>280000</v>
      </c>
      <c r="H7" s="4">
        <v>165000</v>
      </c>
      <c r="I7" s="4">
        <f>E7*G7</f>
        <v>280000</v>
      </c>
      <c r="J7" s="4">
        <f>E7*H7</f>
        <v>165000</v>
      </c>
      <c r="K7" s="21" t="s">
        <v>239</v>
      </c>
    </row>
    <row r="8" spans="1:11" ht="34.200000000000003" x14ac:dyDescent="0.25">
      <c r="A8" s="10">
        <f>A7+1</f>
        <v>2</v>
      </c>
      <c r="B8" s="10" t="s">
        <v>236</v>
      </c>
      <c r="C8" s="1" t="s">
        <v>120</v>
      </c>
      <c r="D8" s="10" t="s">
        <v>131</v>
      </c>
      <c r="E8" s="16">
        <v>10</v>
      </c>
      <c r="F8" s="1" t="s">
        <v>113</v>
      </c>
      <c r="G8" s="4">
        <v>0</v>
      </c>
      <c r="H8" s="4">
        <v>25000</v>
      </c>
      <c r="I8" s="4">
        <f t="shared" ref="I8:I22" si="0">E8*G8</f>
        <v>0</v>
      </c>
      <c r="J8" s="4">
        <f t="shared" ref="J8:J22" si="1">E8*H8</f>
        <v>250000</v>
      </c>
    </row>
    <row r="9" spans="1:11" ht="34.200000000000003" x14ac:dyDescent="0.25">
      <c r="B9" s="10" t="s">
        <v>395</v>
      </c>
      <c r="C9" s="1" t="s">
        <v>120</v>
      </c>
      <c r="D9" s="10" t="s">
        <v>131</v>
      </c>
      <c r="E9" s="22">
        <v>1.5</v>
      </c>
      <c r="F9" s="21" t="s">
        <v>113</v>
      </c>
      <c r="G9" s="4">
        <v>0</v>
      </c>
      <c r="H9" s="4">
        <v>25000</v>
      </c>
      <c r="I9" s="4">
        <f t="shared" ref="I9" si="2">E9*G9</f>
        <v>0</v>
      </c>
      <c r="J9" s="4">
        <f t="shared" ref="J9" si="3">E9*H9</f>
        <v>37500</v>
      </c>
    </row>
    <row r="10" spans="1:11" ht="22.8" x14ac:dyDescent="0.25">
      <c r="A10" s="10">
        <f>A8+1</f>
        <v>3</v>
      </c>
      <c r="B10" s="10" t="s">
        <v>236</v>
      </c>
      <c r="C10" s="1" t="s">
        <v>123</v>
      </c>
      <c r="D10" s="10" t="s">
        <v>245</v>
      </c>
      <c r="E10" s="16">
        <v>10</v>
      </c>
      <c r="F10" s="1" t="s">
        <v>113</v>
      </c>
      <c r="G10" s="4">
        <v>0</v>
      </c>
      <c r="H10" s="4">
        <v>24500</v>
      </c>
      <c r="I10" s="4">
        <f t="shared" si="0"/>
        <v>0</v>
      </c>
      <c r="J10" s="4">
        <f t="shared" si="1"/>
        <v>245000</v>
      </c>
    </row>
    <row r="11" spans="1:11" ht="22.8" x14ac:dyDescent="0.25">
      <c r="B11" s="10" t="s">
        <v>395</v>
      </c>
      <c r="C11" s="1" t="s">
        <v>123</v>
      </c>
      <c r="D11" s="10" t="s">
        <v>245</v>
      </c>
      <c r="E11" s="22">
        <v>1.5</v>
      </c>
      <c r="F11" s="21" t="s">
        <v>113</v>
      </c>
      <c r="G11" s="4">
        <v>0</v>
      </c>
      <c r="H11" s="4">
        <v>24500</v>
      </c>
      <c r="I11" s="4">
        <f t="shared" ref="I11:I17" si="4">E11*G11</f>
        <v>0</v>
      </c>
      <c r="J11" s="4">
        <f t="shared" ref="J11:J17" si="5">E11*H11</f>
        <v>36750</v>
      </c>
    </row>
    <row r="12" spans="1:11" ht="22.8" x14ac:dyDescent="0.25">
      <c r="A12" s="10">
        <f>A10+1</f>
        <v>4</v>
      </c>
      <c r="B12" s="10" t="s">
        <v>236</v>
      </c>
      <c r="C12" s="1" t="s">
        <v>124</v>
      </c>
      <c r="D12" s="10" t="s">
        <v>132</v>
      </c>
      <c r="E12" s="16">
        <v>8</v>
      </c>
      <c r="F12" s="1" t="s">
        <v>113</v>
      </c>
      <c r="G12" s="4">
        <v>0</v>
      </c>
      <c r="H12" s="4">
        <v>65000</v>
      </c>
      <c r="I12" s="4">
        <f t="shared" si="4"/>
        <v>0</v>
      </c>
      <c r="J12" s="4">
        <f t="shared" si="5"/>
        <v>520000</v>
      </c>
      <c r="K12" s="21" t="s">
        <v>240</v>
      </c>
    </row>
    <row r="13" spans="1:11" ht="22.8" x14ac:dyDescent="0.25">
      <c r="A13" s="10">
        <f t="shared" ref="A13:A16" si="6">A12+1</f>
        <v>5</v>
      </c>
      <c r="B13" s="10" t="s">
        <v>236</v>
      </c>
      <c r="C13" s="1" t="s">
        <v>121</v>
      </c>
      <c r="D13" s="10" t="s">
        <v>114</v>
      </c>
      <c r="E13" s="16">
        <v>3</v>
      </c>
      <c r="F13" s="1" t="s">
        <v>152</v>
      </c>
      <c r="G13" s="4">
        <v>0</v>
      </c>
      <c r="H13" s="4">
        <v>125000</v>
      </c>
      <c r="I13" s="4">
        <f t="shared" si="4"/>
        <v>0</v>
      </c>
      <c r="J13" s="4">
        <f t="shared" si="5"/>
        <v>375000</v>
      </c>
      <c r="K13" s="21" t="s">
        <v>241</v>
      </c>
    </row>
    <row r="14" spans="1:11" ht="34.200000000000003" x14ac:dyDescent="0.25">
      <c r="A14" s="10">
        <f t="shared" si="6"/>
        <v>6</v>
      </c>
      <c r="B14" s="10" t="s">
        <v>236</v>
      </c>
      <c r="C14" s="1" t="s">
        <v>125</v>
      </c>
      <c r="D14" s="10" t="s">
        <v>115</v>
      </c>
      <c r="E14" s="16">
        <v>1</v>
      </c>
      <c r="F14" s="1" t="s">
        <v>133</v>
      </c>
      <c r="G14" s="4">
        <v>0</v>
      </c>
      <c r="H14" s="4">
        <v>350000</v>
      </c>
      <c r="I14" s="4">
        <f t="shared" si="4"/>
        <v>0</v>
      </c>
      <c r="J14" s="4">
        <f t="shared" si="5"/>
        <v>350000</v>
      </c>
      <c r="K14" s="21" t="s">
        <v>242</v>
      </c>
    </row>
    <row r="15" spans="1:11" ht="22.8" x14ac:dyDescent="0.25">
      <c r="A15" s="10">
        <f>A14+1</f>
        <v>7</v>
      </c>
      <c r="B15" s="10" t="s">
        <v>395</v>
      </c>
      <c r="C15" s="1" t="s">
        <v>126</v>
      </c>
      <c r="D15" s="10" t="s">
        <v>116</v>
      </c>
      <c r="E15" s="16">
        <v>425.3</v>
      </c>
      <c r="F15" s="1" t="s">
        <v>151</v>
      </c>
      <c r="G15" s="4">
        <v>425</v>
      </c>
      <c r="H15" s="4">
        <v>650</v>
      </c>
      <c r="I15" s="4">
        <f t="shared" si="4"/>
        <v>180752.5</v>
      </c>
      <c r="J15" s="4">
        <f t="shared" si="5"/>
        <v>276445</v>
      </c>
    </row>
    <row r="16" spans="1:11" ht="22.8" x14ac:dyDescent="0.25">
      <c r="A16" s="10">
        <f t="shared" si="6"/>
        <v>8</v>
      </c>
      <c r="B16" s="10" t="s">
        <v>236</v>
      </c>
      <c r="C16" s="1" t="s">
        <v>127</v>
      </c>
      <c r="D16" s="10" t="s">
        <v>117</v>
      </c>
      <c r="E16" s="16">
        <v>160</v>
      </c>
      <c r="F16" s="1" t="s">
        <v>134</v>
      </c>
      <c r="G16" s="4">
        <v>0</v>
      </c>
      <c r="H16" s="4">
        <v>6850</v>
      </c>
      <c r="I16" s="4">
        <f t="shared" si="4"/>
        <v>0</v>
      </c>
      <c r="J16" s="4">
        <f t="shared" si="5"/>
        <v>1096000</v>
      </c>
    </row>
    <row r="17" spans="1:10" ht="22.8" x14ac:dyDescent="0.25">
      <c r="B17" s="10" t="s">
        <v>395</v>
      </c>
      <c r="C17" s="1" t="s">
        <v>127</v>
      </c>
      <c r="D17" s="10" t="s">
        <v>117</v>
      </c>
      <c r="E17" s="22">
        <v>32</v>
      </c>
      <c r="F17" s="21" t="s">
        <v>134</v>
      </c>
      <c r="G17" s="4">
        <v>0</v>
      </c>
      <c r="H17" s="4">
        <v>6850</v>
      </c>
      <c r="I17" s="4">
        <f t="shared" si="4"/>
        <v>0</v>
      </c>
      <c r="J17" s="4">
        <f t="shared" si="5"/>
        <v>219200</v>
      </c>
    </row>
    <row r="18" spans="1:10" ht="22.8" x14ac:dyDescent="0.25">
      <c r="A18" s="10">
        <f>A16+1</f>
        <v>9</v>
      </c>
      <c r="B18" s="10" t="s">
        <v>236</v>
      </c>
      <c r="C18" s="1" t="s">
        <v>128</v>
      </c>
      <c r="D18" s="10" t="s">
        <v>118</v>
      </c>
      <c r="E18" s="16">
        <v>10</v>
      </c>
      <c r="F18" s="1" t="s">
        <v>113</v>
      </c>
      <c r="G18" s="4">
        <v>0</v>
      </c>
      <c r="H18" s="4">
        <v>80000</v>
      </c>
      <c r="I18" s="4">
        <f t="shared" si="0"/>
        <v>0</v>
      </c>
      <c r="J18" s="4">
        <f t="shared" si="1"/>
        <v>800000</v>
      </c>
    </row>
    <row r="19" spans="1:10" ht="22.8" x14ac:dyDescent="0.25">
      <c r="B19" s="10" t="s">
        <v>395</v>
      </c>
      <c r="C19" s="1" t="s">
        <v>128</v>
      </c>
      <c r="D19" s="10" t="s">
        <v>118</v>
      </c>
      <c r="E19" s="22">
        <v>1.5</v>
      </c>
      <c r="F19" s="21" t="s">
        <v>113</v>
      </c>
      <c r="G19" s="4">
        <v>0</v>
      </c>
      <c r="H19" s="4">
        <v>80000</v>
      </c>
      <c r="I19" s="4">
        <f t="shared" si="0"/>
        <v>0</v>
      </c>
      <c r="J19" s="4">
        <f t="shared" si="1"/>
        <v>120000</v>
      </c>
    </row>
    <row r="20" spans="1:10" ht="22.8" x14ac:dyDescent="0.25">
      <c r="A20" s="10">
        <f>A18+1</f>
        <v>10</v>
      </c>
      <c r="B20" s="10" t="s">
        <v>236</v>
      </c>
      <c r="C20" s="1" t="s">
        <v>129</v>
      </c>
      <c r="D20" s="10" t="s">
        <v>204</v>
      </c>
      <c r="E20" s="16">
        <v>10</v>
      </c>
      <c r="F20" s="1" t="s">
        <v>205</v>
      </c>
      <c r="G20" s="4">
        <v>0</v>
      </c>
      <c r="H20" s="4">
        <v>35000</v>
      </c>
      <c r="I20" s="4">
        <f t="shared" si="0"/>
        <v>0</v>
      </c>
      <c r="J20" s="4">
        <f t="shared" si="1"/>
        <v>350000</v>
      </c>
    </row>
    <row r="21" spans="1:10" ht="22.8" x14ac:dyDescent="0.25">
      <c r="A21" s="10">
        <f>A20+1</f>
        <v>11</v>
      </c>
      <c r="B21" s="10" t="s">
        <v>395</v>
      </c>
      <c r="C21" s="1" t="s">
        <v>130</v>
      </c>
      <c r="D21" s="10" t="s">
        <v>119</v>
      </c>
      <c r="E21" s="16">
        <v>1</v>
      </c>
      <c r="F21" s="1" t="s">
        <v>133</v>
      </c>
      <c r="G21" s="4">
        <v>0</v>
      </c>
      <c r="H21" s="4">
        <v>350000</v>
      </c>
      <c r="I21" s="4">
        <f t="shared" si="0"/>
        <v>0</v>
      </c>
      <c r="J21" s="4">
        <f t="shared" si="1"/>
        <v>350000</v>
      </c>
    </row>
    <row r="22" spans="1:10" ht="34.200000000000003" x14ac:dyDescent="0.25">
      <c r="A22" s="10">
        <f>A21+1</f>
        <v>12</v>
      </c>
      <c r="B22" s="10" t="s">
        <v>236</v>
      </c>
      <c r="D22" s="10" t="s">
        <v>243</v>
      </c>
      <c r="E22" s="16">
        <v>50</v>
      </c>
      <c r="F22" s="1" t="s">
        <v>122</v>
      </c>
      <c r="G22" s="4">
        <v>6450</v>
      </c>
      <c r="H22" s="4">
        <v>3500</v>
      </c>
      <c r="I22" s="4">
        <f t="shared" si="0"/>
        <v>322500</v>
      </c>
      <c r="J22" s="4">
        <f t="shared" si="1"/>
        <v>175000</v>
      </c>
    </row>
    <row r="23" spans="1:10" ht="34.200000000000003" x14ac:dyDescent="0.25">
      <c r="A23" s="10">
        <v>13</v>
      </c>
      <c r="B23" s="10" t="s">
        <v>395</v>
      </c>
      <c r="D23" s="10" t="s">
        <v>244</v>
      </c>
      <c r="E23" s="16">
        <v>50</v>
      </c>
      <c r="F23" s="1" t="s">
        <v>122</v>
      </c>
      <c r="G23" s="4">
        <v>841</v>
      </c>
      <c r="H23" s="4">
        <v>457</v>
      </c>
      <c r="I23" s="4">
        <f t="shared" ref="I23" si="7">E23*G23</f>
        <v>42050</v>
      </c>
      <c r="J23" s="4">
        <f t="shared" ref="J23" si="8">E23*H23</f>
        <v>22850</v>
      </c>
    </row>
    <row r="24" spans="1:10" ht="12" thickBot="1" x14ac:dyDescent="0.3">
      <c r="A24" s="11"/>
      <c r="B24" s="11"/>
      <c r="C24" s="5"/>
      <c r="D24" s="5"/>
      <c r="E24" s="17"/>
      <c r="F24" s="5"/>
      <c r="G24" s="6"/>
      <c r="H24" s="6"/>
      <c r="I24" s="6"/>
      <c r="J24" s="6"/>
    </row>
    <row r="25" spans="1:10" ht="12.6" thickTop="1" x14ac:dyDescent="0.25">
      <c r="D25" s="2" t="s">
        <v>250</v>
      </c>
      <c r="E25" s="18"/>
      <c r="F25" s="2"/>
      <c r="G25" s="3"/>
      <c r="H25" s="3"/>
      <c r="I25" s="3">
        <f>SUM(I7:I24)</f>
        <v>825302.5</v>
      </c>
      <c r="J25" s="3">
        <f>SUM(J7:J24)</f>
        <v>5388745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87" orientation="landscape" r:id="rId1"/>
  <headerFooter alignWithMargins="0">
    <oddHeader>&amp;CKerepes sportközpont kiszolgáló épület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3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+SUMIF($B6:$B13,$F3,$I6:$I13)</f>
        <v>5032988.2</v>
      </c>
      <c r="J3" s="37">
        <f>+SUMIF($B6:$B13,$F3,$J6:$J13)</f>
        <v>5633150.5999999996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+SUMIF($B7:$B14,$F4,$I7:$I14)</f>
        <v>0</v>
      </c>
      <c r="J4" s="37">
        <f>+SUMIF($B7:$B14,$F4,$J7:$J14)</f>
        <v>0</v>
      </c>
    </row>
    <row r="6" spans="1:11" ht="12" x14ac:dyDescent="0.25">
      <c r="D6" s="2" t="s">
        <v>252</v>
      </c>
    </row>
    <row r="7" spans="1:11" ht="45.6" x14ac:dyDescent="0.25">
      <c r="A7" s="10">
        <v>1</v>
      </c>
      <c r="B7" s="10" t="s">
        <v>236</v>
      </c>
      <c r="C7" s="1" t="s">
        <v>80</v>
      </c>
      <c r="D7" s="1" t="s">
        <v>81</v>
      </c>
      <c r="E7" s="16">
        <f>(14*0.3*2*2.9+2*0.3*4*2.9)*2</f>
        <v>62.64</v>
      </c>
      <c r="F7" s="1" t="s">
        <v>151</v>
      </c>
      <c r="G7" s="4">
        <v>10500</v>
      </c>
      <c r="H7" s="4">
        <v>14500</v>
      </c>
      <c r="I7" s="4">
        <f t="shared" ref="I7:I9" si="0">E7*G7</f>
        <v>657720</v>
      </c>
      <c r="J7" s="4">
        <f t="shared" ref="J7:J9" si="1">E7*H7</f>
        <v>908280</v>
      </c>
      <c r="K7" s="23" t="s">
        <v>246</v>
      </c>
    </row>
    <row r="8" spans="1:11" ht="22.8" x14ac:dyDescent="0.25">
      <c r="A8" s="10">
        <f>A7+1</f>
        <v>2</v>
      </c>
      <c r="B8" s="10" t="s">
        <v>236</v>
      </c>
      <c r="C8" s="1" t="s">
        <v>82</v>
      </c>
      <c r="D8" s="1" t="s">
        <v>62</v>
      </c>
      <c r="E8" s="16">
        <f>(5.4*2*(0.3+0.3+0.25))*2+4*(0.3+0.3+0.25)</f>
        <v>21.759999999999998</v>
      </c>
      <c r="F8" s="1" t="s">
        <v>151</v>
      </c>
      <c r="G8" s="4">
        <v>9000</v>
      </c>
      <c r="H8" s="4">
        <v>9500</v>
      </c>
      <c r="I8" s="4">
        <f t="shared" si="0"/>
        <v>195839.99999999997</v>
      </c>
      <c r="J8" s="4">
        <f t="shared" si="1"/>
        <v>206719.99999999997</v>
      </c>
      <c r="K8" s="23" t="s">
        <v>256</v>
      </c>
    </row>
    <row r="9" spans="1:11" ht="68.400000000000006" x14ac:dyDescent="0.25">
      <c r="A9" s="10">
        <f t="shared" ref="A9:A12" si="2">A8+1</f>
        <v>3</v>
      </c>
      <c r="B9" s="10" t="s">
        <v>236</v>
      </c>
      <c r="C9" s="1" t="s">
        <v>83</v>
      </c>
      <c r="D9" s="1" t="s">
        <v>84</v>
      </c>
      <c r="E9" s="16">
        <f>436.39</f>
        <v>436.39</v>
      </c>
      <c r="F9" s="1" t="s">
        <v>151</v>
      </c>
      <c r="G9" s="4">
        <v>8500</v>
      </c>
      <c r="H9" s="4">
        <v>9000</v>
      </c>
      <c r="I9" s="4">
        <f t="shared" si="0"/>
        <v>3709315</v>
      </c>
      <c r="J9" s="4">
        <f t="shared" si="1"/>
        <v>3927510</v>
      </c>
      <c r="K9" s="23" t="s">
        <v>303</v>
      </c>
    </row>
    <row r="10" spans="1:11" ht="22.8" x14ac:dyDescent="0.25">
      <c r="A10" s="10">
        <f t="shared" si="2"/>
        <v>4</v>
      </c>
      <c r="B10" s="10" t="s">
        <v>236</v>
      </c>
      <c r="C10" s="1" t="s">
        <v>200</v>
      </c>
      <c r="D10" s="1" t="s">
        <v>201</v>
      </c>
      <c r="E10" s="16">
        <f>2.65*1.5*2*2</f>
        <v>15.899999999999999</v>
      </c>
      <c r="F10" s="1" t="s">
        <v>151</v>
      </c>
      <c r="G10" s="4">
        <v>14500</v>
      </c>
      <c r="H10" s="4">
        <v>16000</v>
      </c>
      <c r="I10" s="4">
        <f>E10*G10</f>
        <v>230549.99999999997</v>
      </c>
      <c r="J10" s="4">
        <f>E10*H10</f>
        <v>254399.99999999997</v>
      </c>
      <c r="K10" s="23" t="s">
        <v>253</v>
      </c>
    </row>
    <row r="11" spans="1:11" ht="22.8" x14ac:dyDescent="0.25">
      <c r="A11" s="10">
        <f t="shared" si="2"/>
        <v>5</v>
      </c>
      <c r="B11" s="10" t="s">
        <v>236</v>
      </c>
      <c r="C11" s="1" t="s">
        <v>202</v>
      </c>
      <c r="D11" s="10" t="s">
        <v>63</v>
      </c>
      <c r="E11" s="16">
        <f>(3.6+3)*2*2+3*0.4*4</f>
        <v>31.2</v>
      </c>
      <c r="F11" s="1" t="s">
        <v>122</v>
      </c>
      <c r="G11" s="4">
        <v>1350</v>
      </c>
      <c r="H11" s="4">
        <v>1680</v>
      </c>
      <c r="I11" s="4">
        <f>E11*G11</f>
        <v>42120</v>
      </c>
      <c r="J11" s="4">
        <f>E11*H11</f>
        <v>52416</v>
      </c>
      <c r="K11" s="23" t="s">
        <v>254</v>
      </c>
    </row>
    <row r="12" spans="1:11" ht="22.8" x14ac:dyDescent="0.25">
      <c r="A12" s="10">
        <f t="shared" si="2"/>
        <v>6</v>
      </c>
      <c r="B12" s="10" t="s">
        <v>236</v>
      </c>
      <c r="C12" s="1" t="s">
        <v>206</v>
      </c>
      <c r="D12" s="10" t="s">
        <v>207</v>
      </c>
      <c r="E12" s="16">
        <v>205.67</v>
      </c>
      <c r="F12" s="1" t="s">
        <v>122</v>
      </c>
      <c r="G12" s="4">
        <f>4800*0.2</f>
        <v>960</v>
      </c>
      <c r="H12" s="4">
        <f>6900*0.2</f>
        <v>1380</v>
      </c>
      <c r="I12" s="4">
        <f>E12*G12</f>
        <v>197443.19999999998</v>
      </c>
      <c r="J12" s="4">
        <f>E12*H12</f>
        <v>283824.59999999998</v>
      </c>
      <c r="K12" s="23" t="s">
        <v>255</v>
      </c>
    </row>
    <row r="13" spans="1:11" ht="12" thickBot="1" x14ac:dyDescent="0.3">
      <c r="A13" s="11"/>
      <c r="B13" s="11"/>
      <c r="C13" s="5"/>
      <c r="D13" s="5"/>
      <c r="E13" s="17"/>
      <c r="F13" s="5"/>
      <c r="G13" s="6"/>
      <c r="H13" s="6"/>
      <c r="I13" s="6"/>
      <c r="J13" s="6"/>
    </row>
    <row r="14" spans="1:11" ht="12.6" thickTop="1" x14ac:dyDescent="0.25">
      <c r="D14" s="2" t="s">
        <v>251</v>
      </c>
      <c r="E14" s="18"/>
      <c r="F14" s="2"/>
      <c r="G14" s="3"/>
      <c r="H14" s="3"/>
      <c r="I14" s="3">
        <f>SUM(I7:I13)</f>
        <v>5032988.2</v>
      </c>
      <c r="J14" s="3">
        <f>SUM(J7:J13)</f>
        <v>5633150.5999999996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5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+SUMIF($B6:$B14,$F3,$I6:$I14)</f>
        <v>1073175</v>
      </c>
      <c r="J3" s="37">
        <f>+SUMIF($B6:$B14,$F3,$J6:$J14)</f>
        <v>1783590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+SUMIF($B7:$B15,$F4,$I7:$I15)</f>
        <v>0</v>
      </c>
      <c r="J4" s="37">
        <f>+SUMIF($B7:$B15,$F4,$J7:$J15)</f>
        <v>51150</v>
      </c>
    </row>
    <row r="6" spans="1:11" ht="12" x14ac:dyDescent="0.25">
      <c r="D6" s="2" t="s">
        <v>26</v>
      </c>
    </row>
    <row r="7" spans="1:11" ht="34.200000000000003" x14ac:dyDescent="0.25">
      <c r="A7" s="10">
        <v>1</v>
      </c>
      <c r="B7" s="10" t="s">
        <v>236</v>
      </c>
      <c r="C7" s="1" t="s">
        <v>68</v>
      </c>
      <c r="D7" s="1" t="s">
        <v>260</v>
      </c>
      <c r="E7" s="16">
        <f>77*6</f>
        <v>462</v>
      </c>
      <c r="F7" s="1" t="s">
        <v>151</v>
      </c>
      <c r="G7" s="4">
        <v>1580</v>
      </c>
      <c r="H7" s="4">
        <v>2350</v>
      </c>
      <c r="I7" s="4">
        <f t="shared" ref="I7" si="0">E7*G7</f>
        <v>729960</v>
      </c>
      <c r="J7" s="4">
        <f t="shared" ref="J7" si="1">E7*H7</f>
        <v>1085700</v>
      </c>
    </row>
    <row r="8" spans="1:11" ht="34.200000000000003" x14ac:dyDescent="0.25">
      <c r="B8" s="10" t="s">
        <v>395</v>
      </c>
      <c r="C8" s="1" t="s">
        <v>68</v>
      </c>
      <c r="D8" s="1" t="s">
        <v>257</v>
      </c>
      <c r="E8" s="16">
        <f>7.5*6</f>
        <v>45</v>
      </c>
      <c r="F8" s="1" t="s">
        <v>151</v>
      </c>
      <c r="G8" s="4">
        <v>0</v>
      </c>
      <c r="H8" s="4">
        <f>2350*0.4</f>
        <v>940</v>
      </c>
      <c r="I8" s="4">
        <f t="shared" ref="I8:I12" si="2">E8*G8</f>
        <v>0</v>
      </c>
      <c r="J8" s="4">
        <f t="shared" ref="J8:J12" si="3">E8*H8</f>
        <v>42300</v>
      </c>
      <c r="K8" s="21" t="s">
        <v>258</v>
      </c>
    </row>
    <row r="9" spans="1:11" ht="22.8" x14ac:dyDescent="0.25">
      <c r="A9" s="10">
        <f>A7+1</f>
        <v>2</v>
      </c>
      <c r="B9" s="10" t="s">
        <v>236</v>
      </c>
      <c r="D9" s="1" t="s">
        <v>261</v>
      </c>
      <c r="E9" s="16">
        <v>45</v>
      </c>
      <c r="F9" s="1" t="s">
        <v>205</v>
      </c>
      <c r="G9" s="4">
        <v>0</v>
      </c>
      <c r="H9" s="4">
        <v>8316</v>
      </c>
      <c r="I9" s="4">
        <f t="shared" ref="I9:I10" si="4">E9*G9</f>
        <v>0</v>
      </c>
      <c r="J9" s="4">
        <f t="shared" ref="J9:J10" si="5">E9*H9</f>
        <v>374220</v>
      </c>
    </row>
    <row r="10" spans="1:11" ht="22.8" x14ac:dyDescent="0.25">
      <c r="B10" s="10" t="s">
        <v>395</v>
      </c>
      <c r="D10" s="1" t="s">
        <v>262</v>
      </c>
      <c r="E10" s="16">
        <v>5</v>
      </c>
      <c r="F10" s="1" t="s">
        <v>205</v>
      </c>
      <c r="G10" s="4">
        <v>0</v>
      </c>
      <c r="H10" s="4">
        <v>810</v>
      </c>
      <c r="I10" s="4">
        <f t="shared" si="4"/>
        <v>0</v>
      </c>
      <c r="J10" s="4">
        <f t="shared" si="5"/>
        <v>4050</v>
      </c>
    </row>
    <row r="11" spans="1:11" ht="34.200000000000003" x14ac:dyDescent="0.25">
      <c r="A11" s="10">
        <f>A9+1</f>
        <v>3</v>
      </c>
      <c r="B11" s="10" t="s">
        <v>236</v>
      </c>
      <c r="C11" s="1" t="s">
        <v>69</v>
      </c>
      <c r="D11" s="1" t="s">
        <v>70</v>
      </c>
      <c r="E11" s="16">
        <v>16</v>
      </c>
      <c r="F11" s="1" t="s">
        <v>122</v>
      </c>
      <c r="G11" s="4">
        <v>3450</v>
      </c>
      <c r="H11" s="4">
        <v>4800</v>
      </c>
      <c r="I11" s="4">
        <f t="shared" si="2"/>
        <v>55200</v>
      </c>
      <c r="J11" s="4">
        <f t="shared" si="3"/>
        <v>76800</v>
      </c>
      <c r="K11" s="21" t="s">
        <v>259</v>
      </c>
    </row>
    <row r="12" spans="1:11" ht="34.200000000000003" x14ac:dyDescent="0.25">
      <c r="B12" s="10" t="s">
        <v>395</v>
      </c>
      <c r="C12" s="1" t="s">
        <v>69</v>
      </c>
      <c r="D12" s="1" t="s">
        <v>70</v>
      </c>
      <c r="E12" s="16">
        <v>4</v>
      </c>
      <c r="F12" s="1" t="s">
        <v>122</v>
      </c>
      <c r="G12" s="4">
        <v>0</v>
      </c>
      <c r="H12" s="4">
        <v>1200</v>
      </c>
      <c r="I12" s="4">
        <f t="shared" si="2"/>
        <v>0</v>
      </c>
      <c r="J12" s="4">
        <f t="shared" si="3"/>
        <v>4800</v>
      </c>
    </row>
    <row r="13" spans="1:11" ht="22.8" x14ac:dyDescent="0.25">
      <c r="A13" s="10">
        <f>A11+1</f>
        <v>4</v>
      </c>
      <c r="B13" s="10" t="s">
        <v>236</v>
      </c>
      <c r="C13" s="1" t="s">
        <v>203</v>
      </c>
      <c r="D13" s="1" t="s">
        <v>263</v>
      </c>
      <c r="E13" s="16">
        <f>68.45+68.7</f>
        <v>137.15</v>
      </c>
      <c r="F13" s="1" t="s">
        <v>122</v>
      </c>
      <c r="G13" s="4">
        <v>2100</v>
      </c>
      <c r="H13" s="4">
        <v>1800</v>
      </c>
      <c r="I13" s="4">
        <f>E13*G13</f>
        <v>288015</v>
      </c>
      <c r="J13" s="4">
        <f>E13*H13</f>
        <v>246870</v>
      </c>
    </row>
    <row r="14" spans="1:11" ht="12" thickBot="1" x14ac:dyDescent="0.3">
      <c r="A14" s="11"/>
      <c r="B14" s="11"/>
      <c r="C14" s="5"/>
      <c r="D14" s="5"/>
      <c r="E14" s="17"/>
      <c r="F14" s="5"/>
      <c r="G14" s="6"/>
      <c r="H14" s="6"/>
      <c r="I14" s="6"/>
      <c r="J14" s="6"/>
    </row>
    <row r="15" spans="1:11" ht="12.6" thickTop="1" x14ac:dyDescent="0.25">
      <c r="D15" s="2" t="s">
        <v>281</v>
      </c>
      <c r="E15" s="18"/>
      <c r="F15" s="2"/>
      <c r="G15" s="3"/>
      <c r="H15" s="3"/>
      <c r="I15" s="3">
        <f>SUM(I7:I14)</f>
        <v>1073175</v>
      </c>
      <c r="J15" s="3">
        <f>SUM(J7:J14)</f>
        <v>1834740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9"/>
  <sheetViews>
    <sheetView view="pageBreakPreview" topLeftCell="A13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+SUMIF($B6:$B18,$F3,$I6:$I18)</f>
        <v>690831.14</v>
      </c>
      <c r="J3" s="37">
        <f>+SUMIF($B6:$B18,$F3,$J6:$J18)</f>
        <v>1791730.9000000001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+SUMIF($B7:$B19,$F4,$I7:$I19)</f>
        <v>1229211.24</v>
      </c>
      <c r="J4" s="37">
        <f>+SUMIF($B7:$B19,$F4,$J7:$J19)</f>
        <v>982653.9</v>
      </c>
    </row>
    <row r="6" spans="1:11" ht="12" x14ac:dyDescent="0.25">
      <c r="D6" s="2" t="s">
        <v>282</v>
      </c>
    </row>
    <row r="7" spans="1:11" ht="34.200000000000003" x14ac:dyDescent="0.25">
      <c r="A7" s="10">
        <v>1</v>
      </c>
      <c r="B7" s="10" t="s">
        <v>236</v>
      </c>
      <c r="C7" s="1" t="s">
        <v>71</v>
      </c>
      <c r="D7" s="1" t="s">
        <v>208</v>
      </c>
      <c r="E7" s="16">
        <f>246.35*0.3</f>
        <v>73.905000000000001</v>
      </c>
      <c r="F7" s="1" t="s">
        <v>79</v>
      </c>
      <c r="G7" s="4">
        <v>0</v>
      </c>
      <c r="H7" s="4">
        <v>9850</v>
      </c>
      <c r="I7" s="4">
        <f t="shared" ref="I7:I8" si="0">E7*G7</f>
        <v>0</v>
      </c>
      <c r="J7" s="4">
        <f t="shared" ref="J7:J8" si="1">E7*H7</f>
        <v>727964.25</v>
      </c>
      <c r="K7" s="21" t="s">
        <v>269</v>
      </c>
    </row>
    <row r="8" spans="1:11" ht="34.200000000000003" x14ac:dyDescent="0.25">
      <c r="A8" s="10">
        <f>A7+1</f>
        <v>2</v>
      </c>
      <c r="B8" s="10" t="s">
        <v>236</v>
      </c>
      <c r="C8" s="1" t="s">
        <v>97</v>
      </c>
      <c r="D8" s="1" t="s">
        <v>270</v>
      </c>
      <c r="E8" s="16">
        <f>93.6*0.5*0.8</f>
        <v>37.44</v>
      </c>
      <c r="F8" s="1" t="s">
        <v>79</v>
      </c>
      <c r="G8" s="4">
        <v>0</v>
      </c>
      <c r="H8" s="4">
        <v>11450</v>
      </c>
      <c r="I8" s="4">
        <f t="shared" si="0"/>
        <v>0</v>
      </c>
      <c r="J8" s="4">
        <f t="shared" si="1"/>
        <v>428688</v>
      </c>
      <c r="K8" s="21" t="s">
        <v>269</v>
      </c>
    </row>
    <row r="9" spans="1:11" ht="45.6" x14ac:dyDescent="0.25">
      <c r="A9" s="10">
        <f t="shared" ref="A9:A10" si="2">A8+1</f>
        <v>3</v>
      </c>
      <c r="B9" s="10" t="s">
        <v>395</v>
      </c>
      <c r="C9" s="1" t="s">
        <v>274</v>
      </c>
      <c r="D9" s="1" t="s">
        <v>275</v>
      </c>
      <c r="E9" s="16">
        <v>14</v>
      </c>
      <c r="F9" s="1" t="s">
        <v>79</v>
      </c>
      <c r="G9" s="4">
        <v>0</v>
      </c>
      <c r="H9" s="4">
        <v>11450</v>
      </c>
      <c r="I9" s="4">
        <f t="shared" ref="I9" si="3">E9*G9</f>
        <v>0</v>
      </c>
      <c r="J9" s="4">
        <f t="shared" ref="J9" si="4">E9*H9</f>
        <v>160300</v>
      </c>
      <c r="K9" s="21" t="s">
        <v>276</v>
      </c>
    </row>
    <row r="10" spans="1:11" ht="57" x14ac:dyDescent="0.25">
      <c r="A10" s="10">
        <f t="shared" si="2"/>
        <v>4</v>
      </c>
      <c r="B10" s="10" t="s">
        <v>236</v>
      </c>
      <c r="C10" s="1" t="s">
        <v>98</v>
      </c>
      <c r="D10" s="1" t="s">
        <v>267</v>
      </c>
      <c r="E10" s="16">
        <f>173.14*0.2</f>
        <v>34.628</v>
      </c>
      <c r="F10" s="1" t="s">
        <v>79</v>
      </c>
      <c r="G10" s="4">
        <v>8500</v>
      </c>
      <c r="H10" s="4">
        <v>4850</v>
      </c>
      <c r="I10" s="4">
        <f t="shared" ref="I10:I14" si="5">E10*G10</f>
        <v>294338</v>
      </c>
      <c r="J10" s="4">
        <f t="shared" ref="J10:J14" si="6">E10*H10</f>
        <v>167945.8</v>
      </c>
    </row>
    <row r="11" spans="1:11" ht="34.200000000000003" x14ac:dyDescent="0.25">
      <c r="A11" s="10">
        <f>A10+1</f>
        <v>5</v>
      </c>
      <c r="B11" s="10" t="s">
        <v>395</v>
      </c>
      <c r="C11" s="1" t="s">
        <v>99</v>
      </c>
      <c r="D11" s="1" t="s">
        <v>100</v>
      </c>
      <c r="E11" s="16">
        <v>350</v>
      </c>
      <c r="F11" s="1" t="s">
        <v>151</v>
      </c>
      <c r="G11" s="4">
        <v>3000</v>
      </c>
      <c r="H11" s="4">
        <v>1850</v>
      </c>
      <c r="I11" s="4">
        <f t="shared" si="5"/>
        <v>1050000</v>
      </c>
      <c r="J11" s="4">
        <f t="shared" si="6"/>
        <v>647500</v>
      </c>
      <c r="K11" s="21" t="s">
        <v>268</v>
      </c>
    </row>
    <row r="12" spans="1:11" ht="34.200000000000003" x14ac:dyDescent="0.25">
      <c r="A12" s="10">
        <f t="shared" ref="A12" si="7">A11+1</f>
        <v>6</v>
      </c>
      <c r="B12" s="10" t="s">
        <v>236</v>
      </c>
      <c r="C12" s="1" t="s">
        <v>101</v>
      </c>
      <c r="D12" s="1" t="s">
        <v>102</v>
      </c>
      <c r="E12" s="16">
        <v>173.14</v>
      </c>
      <c r="F12" s="1" t="s">
        <v>151</v>
      </c>
      <c r="G12" s="4">
        <v>0</v>
      </c>
      <c r="H12" s="4">
        <v>650</v>
      </c>
      <c r="I12" s="4">
        <f t="shared" si="5"/>
        <v>0</v>
      </c>
      <c r="J12" s="4">
        <f t="shared" si="6"/>
        <v>112540.99999999999</v>
      </c>
      <c r="K12" s="21" t="s">
        <v>280</v>
      </c>
    </row>
    <row r="13" spans="1:11" ht="34.200000000000003" x14ac:dyDescent="0.25">
      <c r="B13" s="10" t="s">
        <v>395</v>
      </c>
      <c r="C13" s="1" t="s">
        <v>101</v>
      </c>
      <c r="D13" s="1" t="s">
        <v>102</v>
      </c>
      <c r="E13" s="16">
        <f>73.22</f>
        <v>73.22</v>
      </c>
      <c r="F13" s="1" t="s">
        <v>151</v>
      </c>
      <c r="G13" s="4">
        <v>0</v>
      </c>
      <c r="H13" s="4">
        <v>650</v>
      </c>
      <c r="I13" s="4">
        <f t="shared" ref="I13" si="8">E13*G13</f>
        <v>0</v>
      </c>
      <c r="J13" s="4">
        <f t="shared" ref="J13" si="9">E13*H13</f>
        <v>47593</v>
      </c>
      <c r="K13" s="21" t="s">
        <v>277</v>
      </c>
    </row>
    <row r="14" spans="1:11" ht="34.200000000000003" x14ac:dyDescent="0.25">
      <c r="A14" s="10">
        <f>A12+1</f>
        <v>7</v>
      </c>
      <c r="B14" s="10" t="s">
        <v>236</v>
      </c>
      <c r="C14" s="1" t="s">
        <v>178</v>
      </c>
      <c r="D14" s="1" t="s">
        <v>232</v>
      </c>
      <c r="E14" s="16">
        <f>E10+E16</f>
        <v>71.580500000000001</v>
      </c>
      <c r="F14" s="1" t="s">
        <v>79</v>
      </c>
      <c r="G14" s="4">
        <v>480</v>
      </c>
      <c r="H14" s="4">
        <v>2450</v>
      </c>
      <c r="I14" s="4">
        <f t="shared" si="5"/>
        <v>34358.639999999999</v>
      </c>
      <c r="J14" s="4">
        <f t="shared" si="6"/>
        <v>175372.22500000001</v>
      </c>
      <c r="K14" s="21" t="s">
        <v>280</v>
      </c>
    </row>
    <row r="15" spans="1:11" ht="34.200000000000003" x14ac:dyDescent="0.25">
      <c r="B15" s="10" t="s">
        <v>395</v>
      </c>
      <c r="C15" s="1" t="s">
        <v>178</v>
      </c>
      <c r="D15" s="1" t="s">
        <v>279</v>
      </c>
      <c r="E15" s="16">
        <f>E17</f>
        <v>17.433</v>
      </c>
      <c r="F15" s="1" t="s">
        <v>79</v>
      </c>
      <c r="G15" s="4">
        <v>480</v>
      </c>
      <c r="H15" s="4">
        <v>2450</v>
      </c>
      <c r="I15" s="4">
        <f t="shared" ref="I15" si="10">E15*G15</f>
        <v>8367.84</v>
      </c>
      <c r="J15" s="4">
        <f t="shared" ref="J15" si="11">E15*H15</f>
        <v>42710.85</v>
      </c>
      <c r="K15" s="21" t="s">
        <v>277</v>
      </c>
    </row>
    <row r="16" spans="1:11" ht="45.6" x14ac:dyDescent="0.25">
      <c r="A16" s="10">
        <f>A14+1</f>
        <v>8</v>
      </c>
      <c r="B16" s="10" t="s">
        <v>236</v>
      </c>
      <c r="C16" s="1" t="s">
        <v>107</v>
      </c>
      <c r="D16" s="1" t="s">
        <v>264</v>
      </c>
      <c r="E16" s="16">
        <f>246.35*0.15</f>
        <v>36.952500000000001</v>
      </c>
      <c r="F16" s="1" t="s">
        <v>79</v>
      </c>
      <c r="G16" s="4">
        <v>9800</v>
      </c>
      <c r="H16" s="4">
        <v>4850</v>
      </c>
      <c r="I16" s="4">
        <f t="shared" ref="I16" si="12">E16*G16</f>
        <v>362134.5</v>
      </c>
      <c r="J16" s="4">
        <f t="shared" ref="J16" si="13">E16*H16</f>
        <v>179219.625</v>
      </c>
      <c r="K16" s="21" t="s">
        <v>278</v>
      </c>
    </row>
    <row r="17" spans="1:11" ht="57" x14ac:dyDescent="0.25">
      <c r="B17" s="10" t="s">
        <v>395</v>
      </c>
      <c r="C17" s="1" t="s">
        <v>265</v>
      </c>
      <c r="D17" s="1" t="s">
        <v>266</v>
      </c>
      <c r="E17" s="16">
        <f>(43+73.22)*0.15</f>
        <v>17.433</v>
      </c>
      <c r="F17" s="1" t="s">
        <v>79</v>
      </c>
      <c r="G17" s="4">
        <v>9800</v>
      </c>
      <c r="H17" s="4">
        <v>4850</v>
      </c>
      <c r="I17" s="4">
        <f t="shared" ref="I17" si="14">E17*G17</f>
        <v>170843.4</v>
      </c>
      <c r="J17" s="4">
        <f t="shared" ref="J17" si="15">E17*H17</f>
        <v>84550.05</v>
      </c>
      <c r="K17" s="21" t="s">
        <v>277</v>
      </c>
    </row>
    <row r="18" spans="1:11" ht="12" thickBot="1" x14ac:dyDescent="0.3">
      <c r="A18" s="11"/>
      <c r="B18" s="11"/>
      <c r="C18" s="5"/>
      <c r="D18" s="5"/>
      <c r="E18" s="17"/>
      <c r="F18" s="5"/>
      <c r="G18" s="6"/>
      <c r="H18" s="6"/>
      <c r="I18" s="6"/>
      <c r="J18" s="6"/>
    </row>
    <row r="19" spans="1:11" ht="12.6" thickTop="1" x14ac:dyDescent="0.25">
      <c r="D19" s="2" t="s">
        <v>283</v>
      </c>
      <c r="E19" s="18"/>
      <c r="F19" s="2"/>
      <c r="G19" s="3"/>
      <c r="H19" s="3"/>
      <c r="I19" s="3">
        <f>SUM(I7:I18)</f>
        <v>1920042.38</v>
      </c>
      <c r="J19" s="3">
        <f>SUM(J7:J18)</f>
        <v>2774384.8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1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+SUMIF($B6:$B9,$F3,$I6:$I9)</f>
        <v>0</v>
      </c>
      <c r="J3" s="37">
        <f>+SUMIF($B6:$B9,$F3,$J6:$J9)</f>
        <v>0</v>
      </c>
    </row>
    <row r="4" spans="1:11" ht="12" x14ac:dyDescent="0.25">
      <c r="F4" s="1" t="s">
        <v>395</v>
      </c>
      <c r="G4" s="35" t="s">
        <v>450</v>
      </c>
      <c r="H4" s="36"/>
      <c r="I4" s="37">
        <f>+SUMIF($B6:$B10,$F4,$I6:$I10)</f>
        <v>467900</v>
      </c>
      <c r="J4" s="37">
        <f>+SUMIF($B6:$B10,$F4,$J6:$J10)</f>
        <v>202380</v>
      </c>
    </row>
    <row r="6" spans="1:11" ht="12" x14ac:dyDescent="0.25">
      <c r="D6" s="2" t="s">
        <v>293</v>
      </c>
    </row>
    <row r="7" spans="1:11" ht="45.6" x14ac:dyDescent="0.25">
      <c r="A7" s="10">
        <v>1</v>
      </c>
      <c r="B7" s="10" t="s">
        <v>395</v>
      </c>
      <c r="C7" s="1" t="s">
        <v>109</v>
      </c>
      <c r="D7" s="1" t="s">
        <v>271</v>
      </c>
      <c r="E7" s="16">
        <v>18</v>
      </c>
      <c r="F7" s="1" t="s">
        <v>153</v>
      </c>
      <c r="G7" s="4">
        <v>8650</v>
      </c>
      <c r="H7" s="4">
        <v>2960</v>
      </c>
      <c r="I7" s="4">
        <f t="shared" ref="I7" si="0">E7*G7</f>
        <v>155700</v>
      </c>
      <c r="J7" s="4">
        <f t="shared" ref="J7" si="1">E7*H7</f>
        <v>53280</v>
      </c>
    </row>
    <row r="8" spans="1:11" ht="34.200000000000003" x14ac:dyDescent="0.25">
      <c r="A8" s="10">
        <f>A7+1</f>
        <v>2</v>
      </c>
      <c r="B8" s="10" t="s">
        <v>395</v>
      </c>
      <c r="C8" s="1" t="s">
        <v>209</v>
      </c>
      <c r="D8" s="1" t="s">
        <v>272</v>
      </c>
      <c r="E8" s="16">
        <v>14</v>
      </c>
      <c r="F8" s="1" t="s">
        <v>134</v>
      </c>
      <c r="G8" s="4">
        <v>12500</v>
      </c>
      <c r="H8" s="4">
        <v>6400</v>
      </c>
      <c r="I8" s="4">
        <f t="shared" ref="I8:I9" si="2">E8*G8</f>
        <v>175000</v>
      </c>
      <c r="J8" s="4">
        <f t="shared" ref="J8:J9" si="3">E8*H8</f>
        <v>89600</v>
      </c>
      <c r="K8" s="21" t="s">
        <v>284</v>
      </c>
    </row>
    <row r="9" spans="1:11" ht="22.8" x14ac:dyDescent="0.25">
      <c r="A9" s="10">
        <f>A8+1</f>
        <v>3</v>
      </c>
      <c r="B9" s="10" t="s">
        <v>395</v>
      </c>
      <c r="D9" s="1" t="s">
        <v>273</v>
      </c>
      <c r="E9" s="16">
        <v>70</v>
      </c>
      <c r="F9" s="1" t="s">
        <v>135</v>
      </c>
      <c r="G9" s="4">
        <v>1960</v>
      </c>
      <c r="H9" s="4">
        <v>850</v>
      </c>
      <c r="I9" s="4">
        <f t="shared" si="2"/>
        <v>137200</v>
      </c>
      <c r="J9" s="4">
        <f t="shared" si="3"/>
        <v>59500</v>
      </c>
    </row>
    <row r="10" spans="1:11" ht="12" thickBot="1" x14ac:dyDescent="0.3">
      <c r="A10" s="11"/>
      <c r="B10" s="11"/>
      <c r="C10" s="5"/>
      <c r="D10" s="5"/>
      <c r="E10" s="17"/>
      <c r="F10" s="5"/>
      <c r="G10" s="6"/>
      <c r="H10" s="6"/>
      <c r="I10" s="6"/>
      <c r="J10" s="6"/>
    </row>
    <row r="11" spans="1:11" ht="12.6" thickTop="1" x14ac:dyDescent="0.25">
      <c r="D11" s="2" t="s">
        <v>294</v>
      </c>
      <c r="E11" s="18"/>
      <c r="F11" s="2"/>
      <c r="G11" s="3"/>
      <c r="H11" s="3"/>
      <c r="I11" s="3">
        <f>SUM(I7:I10)</f>
        <v>467900</v>
      </c>
      <c r="J11" s="3">
        <f>SUM(J7:J10)</f>
        <v>202380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3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+SUMIF($B6:$B12,$F3,$I6:$I12)</f>
        <v>4005421.5</v>
      </c>
      <c r="J3" s="37">
        <f>+SUMIF($B6:$B12,$F3,$J6:$J12)</f>
        <v>1296016.5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+SUMIF($B7:$B13,$F4,$I7:$I13)</f>
        <v>0</v>
      </c>
      <c r="J4" s="37">
        <f>+SUMIF($B7:$B13,$F4,$J7:$J13)</f>
        <v>0</v>
      </c>
    </row>
    <row r="6" spans="1:11" ht="12" x14ac:dyDescent="0.25">
      <c r="D6" s="2" t="s">
        <v>40</v>
      </c>
    </row>
    <row r="7" spans="1:11" ht="22.8" x14ac:dyDescent="0.25">
      <c r="A7" s="10">
        <v>1</v>
      </c>
      <c r="B7" s="10" t="s">
        <v>236</v>
      </c>
      <c r="C7" s="1" t="s">
        <v>66</v>
      </c>
      <c r="D7" s="1" t="s">
        <v>210</v>
      </c>
      <c r="E7" s="16">
        <v>37.44</v>
      </c>
      <c r="F7" s="1" t="s">
        <v>79</v>
      </c>
      <c r="G7" s="4">
        <v>49800</v>
      </c>
      <c r="H7" s="4">
        <v>9800</v>
      </c>
      <c r="I7" s="4">
        <f t="shared" ref="I7:I8" si="0">E7*G7</f>
        <v>1864512</v>
      </c>
      <c r="J7" s="4">
        <f t="shared" ref="J7:J8" si="1">E7*H7</f>
        <v>366912</v>
      </c>
    </row>
    <row r="8" spans="1:11" ht="34.200000000000003" x14ac:dyDescent="0.25">
      <c r="A8" s="10">
        <f>A7+1</f>
        <v>2</v>
      </c>
      <c r="B8" s="10" t="s">
        <v>236</v>
      </c>
      <c r="C8" s="1" t="s">
        <v>67</v>
      </c>
      <c r="D8" s="1" t="s">
        <v>286</v>
      </c>
      <c r="E8" s="16">
        <f>(96+17+21)*0.1</f>
        <v>13.4</v>
      </c>
      <c r="F8" s="1" t="s">
        <v>79</v>
      </c>
      <c r="G8" s="4">
        <v>49800</v>
      </c>
      <c r="H8" s="4">
        <v>15000</v>
      </c>
      <c r="I8" s="4">
        <f t="shared" si="0"/>
        <v>667320</v>
      </c>
      <c r="J8" s="4">
        <f t="shared" si="1"/>
        <v>201000</v>
      </c>
      <c r="K8" s="21" t="s">
        <v>287</v>
      </c>
    </row>
    <row r="9" spans="1:11" ht="34.200000000000003" x14ac:dyDescent="0.25">
      <c r="A9" s="10">
        <f>A8+1</f>
        <v>3</v>
      </c>
      <c r="B9" s="10" t="s">
        <v>236</v>
      </c>
      <c r="C9" s="1" t="s">
        <v>38</v>
      </c>
      <c r="D9" s="1" t="s">
        <v>285</v>
      </c>
      <c r="E9" s="16">
        <f>E7*0.06</f>
        <v>2.2464</v>
      </c>
      <c r="F9" s="1" t="s">
        <v>233</v>
      </c>
      <c r="G9" s="4">
        <v>485000</v>
      </c>
      <c r="H9" s="4">
        <v>210000</v>
      </c>
      <c r="I9" s="4">
        <f t="shared" ref="I9:I10" si="2">E9*G9</f>
        <v>1089504</v>
      </c>
      <c r="J9" s="4">
        <f t="shared" ref="J9:J10" si="3">E9*H9</f>
        <v>471744</v>
      </c>
      <c r="K9" s="21" t="s">
        <v>289</v>
      </c>
    </row>
    <row r="10" spans="1:11" ht="45.6" x14ac:dyDescent="0.25">
      <c r="A10" s="10">
        <f t="shared" ref="A10:A11" si="4">A9+1</f>
        <v>4</v>
      </c>
      <c r="B10" s="10" t="s">
        <v>236</v>
      </c>
      <c r="C10" s="1" t="s">
        <v>211</v>
      </c>
      <c r="D10" s="1" t="s">
        <v>288</v>
      </c>
      <c r="E10" s="16">
        <v>173.13</v>
      </c>
      <c r="F10" s="1" t="s">
        <v>135</v>
      </c>
      <c r="G10" s="4">
        <v>1350</v>
      </c>
      <c r="H10" s="4">
        <v>850</v>
      </c>
      <c r="I10" s="4">
        <f t="shared" si="2"/>
        <v>233725.5</v>
      </c>
      <c r="J10" s="4">
        <f t="shared" si="3"/>
        <v>147160.5</v>
      </c>
    </row>
    <row r="11" spans="1:11" ht="34.200000000000003" x14ac:dyDescent="0.25">
      <c r="A11" s="10">
        <f t="shared" si="4"/>
        <v>5</v>
      </c>
      <c r="B11" s="10" t="s">
        <v>236</v>
      </c>
      <c r="C11" s="1" t="s">
        <v>290</v>
      </c>
      <c r="D11" s="1" t="s">
        <v>291</v>
      </c>
      <c r="E11" s="16">
        <v>16.8</v>
      </c>
      <c r="F11" s="1" t="s">
        <v>135</v>
      </c>
      <c r="G11" s="4">
        <v>8950</v>
      </c>
      <c r="H11" s="4">
        <v>6500</v>
      </c>
      <c r="I11" s="4">
        <f t="shared" ref="I11" si="5">E11*G11</f>
        <v>150360</v>
      </c>
      <c r="J11" s="4">
        <f t="shared" ref="J11" si="6">E11*H11</f>
        <v>109200</v>
      </c>
      <c r="K11" s="21" t="s">
        <v>292</v>
      </c>
    </row>
    <row r="12" spans="1:11" ht="12" thickBot="1" x14ac:dyDescent="0.3">
      <c r="A12" s="11"/>
      <c r="B12" s="11"/>
      <c r="C12" s="5"/>
      <c r="D12" s="5"/>
      <c r="E12" s="17"/>
      <c r="F12" s="5"/>
      <c r="G12" s="6"/>
      <c r="H12" s="6"/>
      <c r="I12" s="6"/>
      <c r="J12" s="6"/>
    </row>
    <row r="13" spans="1:11" ht="12.6" thickTop="1" x14ac:dyDescent="0.25">
      <c r="D13" s="2" t="s">
        <v>295</v>
      </c>
      <c r="E13" s="18"/>
      <c r="F13" s="2"/>
      <c r="G13" s="3"/>
      <c r="H13" s="3"/>
      <c r="I13" s="3">
        <f>SUM(I7:I12)</f>
        <v>4005421.5</v>
      </c>
      <c r="J13" s="3">
        <f>SUM(J7:J12)</f>
        <v>1296016.5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2"/>
  <sheetViews>
    <sheetView view="pageBreakPreview" zoomScaleNormal="100" zoomScaleSheetLayoutView="100" workbookViewId="0">
      <selection activeCell="B5" sqref="B5"/>
    </sheetView>
  </sheetViews>
  <sheetFormatPr defaultColWidth="9.109375" defaultRowHeight="11.4" x14ac:dyDescent="0.25"/>
  <cols>
    <col min="1" max="2" width="4.5546875" style="10" customWidth="1"/>
    <col min="3" max="3" width="9.33203125" style="1" customWidth="1"/>
    <col min="4" max="4" width="35.77734375" style="1" customWidth="1"/>
    <col min="5" max="5" width="7.77734375" style="16" customWidth="1"/>
    <col min="6" max="6" width="6.6640625" style="1" customWidth="1"/>
    <col min="7" max="8" width="10.77734375" style="4" customWidth="1"/>
    <col min="9" max="10" width="11.77734375" style="4" customWidth="1"/>
    <col min="11" max="11" width="20.77734375" style="21" customWidth="1"/>
    <col min="12" max="16384" width="9.109375" style="1"/>
  </cols>
  <sheetData>
    <row r="1" spans="1:11" s="8" customFormat="1" ht="24" x14ac:dyDescent="0.25">
      <c r="A1" s="7" t="s">
        <v>142</v>
      </c>
      <c r="B1" s="7" t="s">
        <v>235</v>
      </c>
      <c r="C1" s="8" t="s">
        <v>143</v>
      </c>
      <c r="D1" s="8" t="s">
        <v>144</v>
      </c>
      <c r="E1" s="15" t="s">
        <v>145</v>
      </c>
      <c r="F1" s="8" t="s">
        <v>146</v>
      </c>
      <c r="G1" s="9" t="s">
        <v>147</v>
      </c>
      <c r="H1" s="9" t="s">
        <v>148</v>
      </c>
      <c r="I1" s="9" t="s">
        <v>149</v>
      </c>
      <c r="J1" s="9" t="s">
        <v>150</v>
      </c>
      <c r="K1" s="19" t="s">
        <v>234</v>
      </c>
    </row>
    <row r="3" spans="1:11" ht="12" x14ac:dyDescent="0.25">
      <c r="F3" s="1" t="s">
        <v>236</v>
      </c>
      <c r="G3" s="35" t="s">
        <v>449</v>
      </c>
      <c r="H3" s="36"/>
      <c r="I3" s="37">
        <f>+SUMIF($B6:$B11,$F3,$I6:$I11)</f>
        <v>1633883.2</v>
      </c>
      <c r="J3" s="37">
        <f>+SUMIF($B6:$B11,$F3,$J6:$J11)</f>
        <v>1482467.3</v>
      </c>
    </row>
    <row r="4" spans="1:11" ht="12" x14ac:dyDescent="0.25">
      <c r="F4" s="1" t="s">
        <v>395</v>
      </c>
      <c r="G4" s="35" t="s">
        <v>450</v>
      </c>
      <c r="H4" s="36"/>
      <c r="I4" s="37">
        <f>+SUMIF($B7:$B12,$F4,$I7:$I12)</f>
        <v>339740.8</v>
      </c>
      <c r="J4" s="37">
        <f>+SUMIF($B7:$B12,$F4,$J7:$J12)</f>
        <v>331686.59999999998</v>
      </c>
    </row>
    <row r="6" spans="1:11" ht="12" x14ac:dyDescent="0.25">
      <c r="D6" s="2" t="s">
        <v>44</v>
      </c>
    </row>
    <row r="7" spans="1:11" ht="34.200000000000003" x14ac:dyDescent="0.25">
      <c r="A7" s="10">
        <v>1</v>
      </c>
      <c r="B7" s="10" t="s">
        <v>236</v>
      </c>
      <c r="C7" s="1" t="s">
        <v>156</v>
      </c>
      <c r="D7" s="1" t="s">
        <v>296</v>
      </c>
      <c r="E7" s="16">
        <v>352.13</v>
      </c>
      <c r="F7" s="1" t="s">
        <v>135</v>
      </c>
      <c r="G7" s="4">
        <v>3290</v>
      </c>
      <c r="H7" s="4">
        <v>3360</v>
      </c>
      <c r="I7" s="4">
        <f t="shared" ref="I7:I8" si="0">E7*G7</f>
        <v>1158507.7</v>
      </c>
      <c r="J7" s="4">
        <f t="shared" ref="J7:J8" si="1">E7*H7</f>
        <v>1183156.8</v>
      </c>
      <c r="K7" s="21" t="s">
        <v>299</v>
      </c>
    </row>
    <row r="8" spans="1:11" ht="34.200000000000003" x14ac:dyDescent="0.25">
      <c r="A8" s="10">
        <f>A7+1</f>
        <v>2</v>
      </c>
      <c r="B8" s="10" t="s">
        <v>395</v>
      </c>
      <c r="C8" s="1" t="s">
        <v>157</v>
      </c>
      <c r="D8" s="1" t="s">
        <v>297</v>
      </c>
      <c r="E8" s="16">
        <v>73.22</v>
      </c>
      <c r="F8" s="1" t="s">
        <v>135</v>
      </c>
      <c r="G8" s="4">
        <v>3290</v>
      </c>
      <c r="H8" s="4">
        <v>3680</v>
      </c>
      <c r="I8" s="4">
        <f t="shared" si="0"/>
        <v>240893.8</v>
      </c>
      <c r="J8" s="4">
        <f t="shared" si="1"/>
        <v>269449.59999999998</v>
      </c>
      <c r="K8" s="21" t="s">
        <v>300</v>
      </c>
    </row>
    <row r="9" spans="1:11" ht="45.6" x14ac:dyDescent="0.25">
      <c r="A9" s="10">
        <f>A8+1</f>
        <v>3</v>
      </c>
      <c r="B9" s="10" t="s">
        <v>236</v>
      </c>
      <c r="C9" s="1" t="s">
        <v>211</v>
      </c>
      <c r="D9" s="1" t="s">
        <v>298</v>
      </c>
      <c r="E9" s="16">
        <f>E7</f>
        <v>352.13</v>
      </c>
      <c r="F9" s="1" t="s">
        <v>135</v>
      </c>
      <c r="G9" s="4">
        <v>1350</v>
      </c>
      <c r="H9" s="4">
        <v>850</v>
      </c>
      <c r="I9" s="4">
        <f t="shared" ref="I9" si="2">E9*G9</f>
        <v>475375.5</v>
      </c>
      <c r="J9" s="4">
        <f t="shared" ref="J9" si="3">E9*H9</f>
        <v>299310.5</v>
      </c>
      <c r="K9" s="21" t="s">
        <v>299</v>
      </c>
    </row>
    <row r="10" spans="1:11" ht="45.6" x14ac:dyDescent="0.25">
      <c r="B10" s="10" t="s">
        <v>395</v>
      </c>
      <c r="C10" s="1" t="s">
        <v>211</v>
      </c>
      <c r="D10" s="1" t="s">
        <v>298</v>
      </c>
      <c r="E10" s="16">
        <f>E8</f>
        <v>73.22</v>
      </c>
      <c r="F10" s="1" t="s">
        <v>135</v>
      </c>
      <c r="G10" s="4">
        <v>1350</v>
      </c>
      <c r="H10" s="4">
        <v>850</v>
      </c>
      <c r="I10" s="4">
        <f t="shared" ref="I10" si="4">E10*G10</f>
        <v>98847</v>
      </c>
      <c r="J10" s="4">
        <f t="shared" ref="J10" si="5">E10*H10</f>
        <v>62237</v>
      </c>
      <c r="K10" s="21" t="s">
        <v>300</v>
      </c>
    </row>
    <row r="11" spans="1:11" ht="12" thickBot="1" x14ac:dyDescent="0.3">
      <c r="A11" s="11"/>
      <c r="B11" s="11"/>
      <c r="C11" s="5"/>
      <c r="D11" s="5"/>
      <c r="E11" s="17"/>
      <c r="F11" s="5"/>
      <c r="G11" s="6"/>
      <c r="H11" s="6"/>
      <c r="I11" s="6"/>
      <c r="J11" s="6"/>
    </row>
    <row r="12" spans="1:11" ht="12.6" thickTop="1" x14ac:dyDescent="0.25">
      <c r="D12" s="2" t="s">
        <v>301</v>
      </c>
      <c r="E12" s="18"/>
      <c r="F12" s="2"/>
      <c r="G12" s="3"/>
      <c r="H12" s="3"/>
      <c r="I12" s="3">
        <f>SUM(I7:I11)</f>
        <v>1973624</v>
      </c>
      <c r="J12" s="3">
        <f>SUM(J7:J11)</f>
        <v>1814153.9</v>
      </c>
    </row>
  </sheetData>
  <phoneticPr fontId="0" type="noConversion"/>
  <pageMargins left="0.98425196850393704" right="0.98425196850393704" top="0.98425196850393704" bottom="0.98425196850393704" header="0.43307086614173229" footer="0.43307086614173229"/>
  <pageSetup paperSize="9" scale="94" fitToHeight="0" orientation="landscape" r:id="rId1"/>
  <headerFooter alignWithMargins="0">
    <oddHeader>&amp;CKerepes sportközpont kiszolgáló épület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6</vt:i4>
      </vt:variant>
    </vt:vector>
  </HeadingPairs>
  <TitlesOfParts>
    <vt:vector size="34" baseType="lpstr">
      <vt:lpstr>Összesítő</vt:lpstr>
      <vt:lpstr>Ideiglenes gépköltség (11)</vt:lpstr>
      <vt:lpstr>Ideiglenes melléképítmények(12)</vt:lpstr>
      <vt:lpstr>Zsaluzás (15)</vt:lpstr>
      <vt:lpstr>Állványozás (16)</vt:lpstr>
      <vt:lpstr>Irtás, föld és sziklamunka (21)</vt:lpstr>
      <vt:lpstr>Szivárgóép és alagcsöv (22) </vt:lpstr>
      <vt:lpstr>Síkalapozás (23)</vt:lpstr>
      <vt:lpstr>Aljzatbetonok (30)</vt:lpstr>
      <vt:lpstr>Helyszíni beton és vb. (31)</vt:lpstr>
      <vt:lpstr>Előregyártott épületszerk. (32)</vt:lpstr>
      <vt:lpstr>Falazás és egyéb kőművesm (33)</vt:lpstr>
      <vt:lpstr>Szárazépítészet (34)</vt:lpstr>
      <vt:lpstr>Ácsmunka (35)</vt:lpstr>
      <vt:lpstr>Belső vakolás (36)</vt:lpstr>
      <vt:lpstr>Homlokzatképzés (37)</vt:lpstr>
      <vt:lpstr>Tetőfedés (41)</vt:lpstr>
      <vt:lpstr>Hidegburkolás (42)</vt:lpstr>
      <vt:lpstr>Bádogozás (43)</vt:lpstr>
      <vt:lpstr>Lakatosszerk elhelyezés (45)</vt:lpstr>
      <vt:lpstr>Felületképzés (47)</vt:lpstr>
      <vt:lpstr>Alépítményi szigetelés (48)</vt:lpstr>
      <vt:lpstr>Üzemi és haszn.víz szig. (50)</vt:lpstr>
      <vt:lpstr>Szerkezeti hőszigetelés (51)</vt:lpstr>
      <vt:lpstr>Egyéb szigetelés (52)</vt:lpstr>
      <vt:lpstr>Belső nyílászárók (66)</vt:lpstr>
      <vt:lpstr>Homlokzati nyílászárók (67)</vt:lpstr>
      <vt:lpstr>Bejárati ajtók (68)</vt:lpstr>
      <vt:lpstr>'Ácsmunka (35)'!Nyomtatási_terület</vt:lpstr>
      <vt:lpstr>'Állványozás (16)'!Nyomtatási_terület</vt:lpstr>
      <vt:lpstr>'Ideiglenes gépköltség (11)'!Nyomtatási_terület</vt:lpstr>
      <vt:lpstr>'Ideiglenes melléképítmények(12)'!Nyomtatási_terület</vt:lpstr>
      <vt:lpstr>Összesítő!Nyomtatási_terület</vt:lpstr>
      <vt:lpstr>'Zsaluzás (15)'!Nyomtatási_terület</vt:lpstr>
    </vt:vector>
  </TitlesOfParts>
  <Company>Zsalu'93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Ángyán Zsolt</dc:creator>
  <cp:lastModifiedBy>Zsorzsi</cp:lastModifiedBy>
  <cp:lastPrinted>2023-05-16T13:48:03Z</cp:lastPrinted>
  <dcterms:created xsi:type="dcterms:W3CDTF">2004-10-07T12:26:04Z</dcterms:created>
  <dcterms:modified xsi:type="dcterms:W3CDTF">2023-05-22T17:33:31Z</dcterms:modified>
</cp:coreProperties>
</file>